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CGN001 S Y MOVIMIENT SIN CONSOL" sheetId="1" r:id="rId1"/>
    <sheet name="CGN001 S Y MOVIMIENTOS CONSOLID" sheetId="2" r:id="rId2"/>
    <sheet name="CGN002 O RECIPROCAS CONSOLIDADO" sheetId="3" r:id="rId3"/>
    <sheet name="BALANCE GENERAL X CTA" sheetId="4" r:id="rId4"/>
    <sheet name="BALANCE GENERAL X GRUPO" sheetId="5" r:id="rId5"/>
    <sheet name="ESTADO RESULTADOS X CTA" sheetId="6" r:id="rId6"/>
    <sheet name="ESTADO RESULTADOS X GRUPO" sheetId="7" r:id="rId7"/>
    <sheet name="ESTADO CAMBIOS EN EL PATRIMONIO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comments1.xml><?xml version="1.0" encoding="utf-8"?>
<comments xmlns="http://schemas.openxmlformats.org/spreadsheetml/2006/main">
  <authors>
    <author>mcamelo</author>
  </authors>
  <commentList>
    <comment ref="M432" authorId="0">
      <text>
        <r>
          <rPr>
            <b/>
            <sz val="8"/>
            <rFont val="Tahoma"/>
            <family val="0"/>
          </rPr>
          <t>mcamelo:</t>
        </r>
        <r>
          <rPr>
            <sz val="8"/>
            <rFont val="Tahoma"/>
            <family val="0"/>
          </rPr>
          <t xml:space="preserve">
se reclasifica el valor en rojo de la cuenta 581559
</t>
        </r>
      </text>
    </comment>
    <comment ref="M668" authorId="0">
      <text>
        <r>
          <rPr>
            <b/>
            <sz val="8"/>
            <rFont val="Tahoma"/>
            <family val="0"/>
          </rPr>
          <t>mcamelo:</t>
        </r>
        <r>
          <rPr>
            <sz val="8"/>
            <rFont val="Tahoma"/>
            <family val="0"/>
          </rPr>
          <t xml:space="preserve">
Se reclasifica a la cuenta 481553 el valor de $156.917 en rojo
</t>
        </r>
      </text>
    </comment>
    <comment ref="P742" authorId="0">
      <text>
        <r>
          <rPr>
            <b/>
            <sz val="8"/>
            <rFont val="Tahoma"/>
            <family val="0"/>
          </rPr>
          <t>mcamelo:</t>
        </r>
        <r>
          <rPr>
            <sz val="8"/>
            <rFont val="Tahoma"/>
            <family val="0"/>
          </rPr>
          <t xml:space="preserve">
se deja sin formula por las aproximaciones, presenta diferencia de $1
</t>
        </r>
      </text>
    </comment>
  </commentList>
</comments>
</file>

<file path=xl/comments2.xml><?xml version="1.0" encoding="utf-8"?>
<comments xmlns="http://schemas.openxmlformats.org/spreadsheetml/2006/main">
  <authors>
    <author>mcamelo</author>
  </authors>
  <commentList>
    <comment ref="E432" authorId="0">
      <text>
        <r>
          <rPr>
            <b/>
            <sz val="8"/>
            <rFont val="Tahoma"/>
            <family val="0"/>
          </rPr>
          <t>mcamelo:</t>
        </r>
        <r>
          <rPr>
            <sz val="8"/>
            <rFont val="Tahoma"/>
            <family val="0"/>
          </rPr>
          <t xml:space="preserve">
se reclasifica el valor en rojo de la cuenta 581559
</t>
        </r>
      </text>
    </comment>
    <comment ref="E668" authorId="0">
      <text>
        <r>
          <rPr>
            <b/>
            <sz val="8"/>
            <rFont val="Tahoma"/>
            <family val="0"/>
          </rPr>
          <t>mcamelo:</t>
        </r>
        <r>
          <rPr>
            <sz val="8"/>
            <rFont val="Tahoma"/>
            <family val="0"/>
          </rPr>
          <t xml:space="preserve">
Se reclasifica a la cuenta 481553 el valor de $156.917 en rojo
</t>
        </r>
      </text>
    </comment>
    <comment ref="F742" authorId="0">
      <text>
        <r>
          <rPr>
            <b/>
            <sz val="8"/>
            <rFont val="Tahoma"/>
            <family val="0"/>
          </rPr>
          <t>mcamelo:</t>
        </r>
        <r>
          <rPr>
            <sz val="8"/>
            <rFont val="Tahoma"/>
            <family val="0"/>
          </rPr>
          <t xml:space="preserve">
se deja sin formula por las aproximaciones, presenta diferencia de $1
</t>
        </r>
      </text>
    </comment>
  </commentList>
</comments>
</file>

<file path=xl/sharedStrings.xml><?xml version="1.0" encoding="utf-8"?>
<sst xmlns="http://schemas.openxmlformats.org/spreadsheetml/2006/main" count="10264" uniqueCount="3550">
  <si>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</si>
  <si>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</si>
  <si>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</si>
  <si>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</si>
  <si>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</si>
  <si>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</si>
  <si>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</si>
  <si>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</si>
  <si>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</si>
  <si>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</si>
  <si>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</si>
  <si>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</si>
  <si>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</si>
  <si>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</si>
  <si>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</si>
  <si>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</si>
  <si>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</si>
  <si>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</si>
  <si>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</si>
  <si>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</si>
  <si>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</si>
  <si>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</si>
  <si>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</si>
  <si>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</si>
  <si>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</si>
  <si>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</si>
  <si>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</si>
  <si>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</si>
  <si>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</si>
  <si>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</si>
  <si>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</si>
  <si>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</si>
  <si>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</si>
  <si>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</si>
  <si>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</si>
  <si>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</si>
  <si>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</si>
  <si>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</si>
  <si>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</si>
  <si>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</si>
  <si>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</si>
  <si>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</si>
  <si>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</si>
  <si>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</si>
  <si>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</si>
  <si>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</si>
  <si>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</si>
  <si>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</si>
  <si>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</si>
  <si>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</si>
  <si>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</si>
  <si>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</si>
  <si>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</si>
  <si>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</si>
  <si>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</si>
  <si>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</si>
  <si>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</si>
  <si>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</si>
  <si>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</si>
  <si>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</si>
  <si>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</si>
  <si>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</si>
  <si>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</si>
  <si>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 xml:space="preserve">SAN MIGUEL </t>
  </si>
  <si>
    <t>VALLE GUAMUEZ</t>
  </si>
  <si>
    <t>VILLAGARZON</t>
  </si>
  <si>
    <t>PROVIDENCIA Y SANTA CATALINA</t>
  </si>
  <si>
    <t>LETICIA</t>
  </si>
  <si>
    <t>PUERTO NARINO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</si>
  <si>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</si>
  <si>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</si>
  <si>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</si>
  <si>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</si>
  <si>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</si>
  <si>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</si>
  <si>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</si>
  <si>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</si>
  <si>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</si>
  <si>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</si>
  <si>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 xml:space="preserve">APORTES FONDOS DE PENSION </t>
  </si>
  <si>
    <t>ISS</t>
  </si>
  <si>
    <t>SALARIOS Y PAGOS LABORALES</t>
  </si>
  <si>
    <t>DIAN</t>
  </si>
  <si>
    <t>HONORARIOS</t>
  </si>
  <si>
    <t>RETENCION EN LA FUENTE POR SERVICIOS</t>
  </si>
  <si>
    <t>RENDIMIENTOS FINANCIEROS</t>
  </si>
  <si>
    <t>RETENCION EN LA FUENTE POR COMPRAS</t>
  </si>
  <si>
    <t>IMPUESTO A LAS VENTAS RETENIDO POR CONSIGNAR</t>
  </si>
  <si>
    <t xml:space="preserve">IMPUESTO DE TIMBRE </t>
  </si>
  <si>
    <t>RETENCION ICA POR COMPRAS</t>
  </si>
  <si>
    <t xml:space="preserve">SECRETARIA DE HACIENDA </t>
  </si>
  <si>
    <t>IMPUESTOS CONTRIBUCIONES Y TASAS POR PAGAR</t>
  </si>
  <si>
    <t>024700000</t>
  </si>
  <si>
    <t>ICFES</t>
  </si>
  <si>
    <t>DEPOSITOS JUDICIALES</t>
  </si>
  <si>
    <t>BANCO AGRARIO</t>
  </si>
  <si>
    <t>GASTOS DE PERSONAL</t>
  </si>
  <si>
    <t>GASTOS GENERALES</t>
  </si>
  <si>
    <t>PROGRAMAS DE INVERSION</t>
  </si>
  <si>
    <t>OPERACIONES DE ENLACE CON SITUACION DE FONDOS</t>
  </si>
  <si>
    <t>CRUCE DE CUENTAS</t>
  </si>
  <si>
    <t xml:space="preserve">CUOTA DE AUDITAJE </t>
  </si>
  <si>
    <t>010200000</t>
  </si>
  <si>
    <t>CONTRALORIA GRAL REPUBLICA</t>
  </si>
  <si>
    <t>DESEMBOLSO DE CREDITO NO MONETIZADO</t>
  </si>
  <si>
    <t>BIENES RECIBIDOS</t>
  </si>
  <si>
    <t>APORTES SEGURIDAD SOCIAL EN SALUD</t>
  </si>
  <si>
    <t xml:space="preserve">UNISALUD </t>
  </si>
  <si>
    <t>FIDU LA PREVISORA SA</t>
  </si>
  <si>
    <t>070400000</t>
  </si>
  <si>
    <t>096300000</t>
  </si>
  <si>
    <t>FOSYGA</t>
  </si>
  <si>
    <t>RIESGOS PROFESIONALES</t>
  </si>
  <si>
    <t>I.S.S</t>
  </si>
  <si>
    <t>COTIZACIONES A ENTIDADES ADMINISTRADORAS DEL REGIMEN</t>
  </si>
  <si>
    <t>FIDUC LA PREVISORA SA</t>
  </si>
  <si>
    <t>070200000</t>
  </si>
  <si>
    <t>CAJANAL</t>
  </si>
  <si>
    <t>APORTES AL ICBF</t>
  </si>
  <si>
    <t>023900000</t>
  </si>
  <si>
    <t>ICBF</t>
  </si>
  <si>
    <t>APORTES AL SENA</t>
  </si>
  <si>
    <t>026800000</t>
  </si>
  <si>
    <t>SENA</t>
  </si>
  <si>
    <t>APORTES ESAP</t>
  </si>
  <si>
    <t>022000000</t>
  </si>
  <si>
    <t>ESAP</t>
  </si>
  <si>
    <t>PREDIAL UNIFICADO</t>
  </si>
  <si>
    <t>IMPUESTO SOBRE VEHICULOS AUTOMOTORES</t>
  </si>
  <si>
    <t xml:space="preserve">GOBERNACION DEL TOLIMA </t>
  </si>
  <si>
    <t>GOBERN DE CUNDINAMARCA</t>
  </si>
  <si>
    <t>NACIONAL ADMINISTRACION CENTRAL</t>
  </si>
  <si>
    <t>071500000</t>
  </si>
  <si>
    <t>FON DE PREST SOC DEL MAGIST</t>
  </si>
  <si>
    <t>CORRIENTES -NAL ADMON DESCENTRALIZADA ENTES AUTONOMOS</t>
  </si>
  <si>
    <t>UNIVERSIDAD MILITAR</t>
  </si>
  <si>
    <t xml:space="preserve">UNIVERSIDAD NACIONAL </t>
  </si>
  <si>
    <t>UNIVERSIDAD DEL CAUCA</t>
  </si>
  <si>
    <t>821400000</t>
  </si>
  <si>
    <t xml:space="preserve">UNIVERSIDAD COL MAYOR </t>
  </si>
  <si>
    <t>UNIVERSIDAD  PACIFICO</t>
  </si>
  <si>
    <t>027500000</t>
  </si>
  <si>
    <t>UNIVERSIDAD PEDAGOGICA NAL</t>
  </si>
  <si>
    <t>027017000</t>
  </si>
  <si>
    <t>UNIVERSIDAD DE CALDAS</t>
  </si>
  <si>
    <t>027615000</t>
  </si>
  <si>
    <t>UNIVERSIDAD PEDAG.  TUNJA</t>
  </si>
  <si>
    <t>027123000</t>
  </si>
  <si>
    <t>UNIVERSIDAD  CORDOBA</t>
  </si>
  <si>
    <t>UNIVERSIDAD TECN CHOCO</t>
  </si>
  <si>
    <t>028450000</t>
  </si>
  <si>
    <t>UNIVERSIDAD LLANOS</t>
  </si>
  <si>
    <t>UNIVERSIDAD TECNOL. PEREIRA</t>
  </si>
  <si>
    <t>821920000</t>
  </si>
  <si>
    <t>UNIVERSIDAD POP DEL CESAR</t>
  </si>
  <si>
    <t>026141000</t>
  </si>
  <si>
    <t>UNIVERSIDAD SUR  NEIVA</t>
  </si>
  <si>
    <t>026318000</t>
  </si>
  <si>
    <t>UNIVERSIDAD  AMAZONIA</t>
  </si>
  <si>
    <t>822000000</t>
  </si>
  <si>
    <t>UNIVERSIDAD UNAD</t>
  </si>
  <si>
    <t>NACIONAL ADMINISTRACION DESCENTRALIZADA ENTES SIN FINES DE LUCRO</t>
  </si>
  <si>
    <t>11500000</t>
  </si>
  <si>
    <t>DEPARTAMENTAL ADMINISTRACION DESCENTRALIZADA ENTES AUTONOMOS</t>
  </si>
  <si>
    <t>UNIVERSIDAD DE ANTIOQUIA</t>
  </si>
  <si>
    <t>UNIVERSIDAD DE CARTAGENA</t>
  </si>
  <si>
    <t>UNIVERSIDAD DE ATLANTICO</t>
  </si>
  <si>
    <t>UNIVERSIDAD DEL QUINDIO</t>
  </si>
  <si>
    <t>UNIVERSIDAD DEL TOLIMA</t>
  </si>
  <si>
    <t>UNIVERSIDAD DEL VALLE</t>
  </si>
  <si>
    <t>UNIVERSIDAD INDUSTRIAL DE SANTANDER</t>
  </si>
  <si>
    <t>UNIVERSIDAD FCO DE PAULA SANT  OCAÑA</t>
  </si>
  <si>
    <t>UNIVERSIDAD CENTRAL VALLE TULUA</t>
  </si>
  <si>
    <t>UNIVERSIDAD DE LA GUAJIRA</t>
  </si>
  <si>
    <t>UNIVERSIDAD DE CUNDINAMARCA</t>
  </si>
  <si>
    <t>DISTRITAL ADMINISTRACION DESCENTRALIZADA ENTES AUTONOMOS</t>
  </si>
  <si>
    <t>UNIVERSIDAD DISTRITAL FCO CALDAS</t>
  </si>
  <si>
    <t xml:space="preserve">AL GOBIERNO GENERAL OTROS NIVELES </t>
  </si>
  <si>
    <t>020615000</t>
  </si>
  <si>
    <t xml:space="preserve">COLEGIO BOYACA </t>
  </si>
  <si>
    <t>AL SECTOR DE EDUCACION DEPARTAMENTAL</t>
  </si>
  <si>
    <t>DEPARTAMENTO ANTIOQUIA</t>
  </si>
  <si>
    <t>DEPARTAMENTO ATLANTICO</t>
  </si>
  <si>
    <t>DEPARTAMENTO BOLIVAR</t>
  </si>
  <si>
    <t>DEPARTAMENTO BOYACA</t>
  </si>
  <si>
    <t>DEPARTAMENTO CALDAS</t>
  </si>
  <si>
    <t>DEPARTAMENTO CAQUETA</t>
  </si>
  <si>
    <t>DEPARTAMENTO CAUCA</t>
  </si>
  <si>
    <t>DEPARTAMENTO CESAR</t>
  </si>
  <si>
    <t>DEPARTAMENTO CORDOBA</t>
  </si>
  <si>
    <t>DEPARTAMENTO CUNDINAMARCA</t>
  </si>
  <si>
    <t>DEPARTAMENTO CHOCO</t>
  </si>
  <si>
    <t>DEPARTAMENTO HUILA</t>
  </si>
  <si>
    <t>DEPARTAMENTO GUAJIRA</t>
  </si>
  <si>
    <t>DEPARTAMENTO MAGDALENA</t>
  </si>
  <si>
    <t>DEPARTAEMENTO META</t>
  </si>
  <si>
    <t>DEPARTAMENTO NARIÑO</t>
  </si>
  <si>
    <t>DEPARTAMENTO NORTE DE SANTANDER</t>
  </si>
  <si>
    <t>DEPARTAMENTO QUINDIO</t>
  </si>
  <si>
    <t>DEPARTAMENTO RISARALDA</t>
  </si>
  <si>
    <t>DEPARTAMENTO SANTANDER</t>
  </si>
  <si>
    <t>DEPARTAMENTRO SUCRE</t>
  </si>
  <si>
    <t>DEPARTAMENTO TOLIMA</t>
  </si>
  <si>
    <t>DEPARTAMENTO VALLE</t>
  </si>
  <si>
    <t>DEPARTAMENTO ARAUCA</t>
  </si>
  <si>
    <t>DEPARTAMENTO CASANARE</t>
  </si>
  <si>
    <t>DEPARTAMENTO PUTUMAYO</t>
  </si>
  <si>
    <t>DEPARTAMENTO SAN ANDRES</t>
  </si>
  <si>
    <t>DEPARTAMENTO AMAZONAS</t>
  </si>
  <si>
    <t>DEPARTAMENTO GUAINIA</t>
  </si>
  <si>
    <t>DEPARTAMENTO GUAVIARE</t>
  </si>
  <si>
    <t>DEPARTAMENTO VAUPES</t>
  </si>
  <si>
    <t>DEPARTAMENTO VICHADA</t>
  </si>
  <si>
    <t>SISTEMA GENERAL DE PARTICIPACIONES AL SECTOR EDUCACION</t>
  </si>
  <si>
    <t>AL SECTOR EDUCACION DISTRITAL</t>
  </si>
  <si>
    <t>SANTAMARTA</t>
  </si>
  <si>
    <t xml:space="preserve">RECAUDOS DTN POR CLASIFICAR </t>
  </si>
  <si>
    <t>ESTADO DE CAMBIOS EN EL PATRIMONIO</t>
  </si>
  <si>
    <t>A DICIEMBRE 31 DE 2006</t>
  </si>
  <si>
    <t>Saldo del Patrimonio a Diciembre de 2005                      (1)</t>
  </si>
  <si>
    <t>Variaciones Patrimoniales durante 2006                         (2)</t>
  </si>
  <si>
    <t>Saldo del Patrimonio a Diciembre de 2006                      (3)</t>
  </si>
  <si>
    <t xml:space="preserve">        </t>
  </si>
  <si>
    <t>DETALLE DE LAS VARIACIONES PATRIMONIALES (2)</t>
  </si>
  <si>
    <t>INCREMENTOS                                                (4)</t>
  </si>
  <si>
    <t>DISMINUCIONES                                              (5)</t>
  </si>
  <si>
    <t>PARTIDAS SIN MOVIMIENTO                            (6)</t>
  </si>
  <si>
    <t>MINISTRA DE DUCACION</t>
  </si>
  <si>
    <t>CGN2005-001</t>
  </si>
  <si>
    <t>SIN CONSOLIDAR</t>
  </si>
  <si>
    <t>SALDO FINAL CORRIENTE</t>
  </si>
  <si>
    <t>SALDO FINAL NO CORRIENTE</t>
  </si>
  <si>
    <t>OCTUBRE</t>
  </si>
  <si>
    <t>NOVIEMBRE</t>
  </si>
  <si>
    <t>DICIEMBRE</t>
  </si>
  <si>
    <t>Gasto de inversión Social</t>
  </si>
  <si>
    <t xml:space="preserve">Otros ingresos  </t>
  </si>
  <si>
    <t>SALDO NETO DE CONSOLIDACIÓN EN CUENTAS DE RESULTADO (DB) (6)*</t>
  </si>
  <si>
    <t xml:space="preserve">Otros Gastos  </t>
  </si>
  <si>
    <t>PARTICIPACIÓN DEL INTERÉS MINORITARIO EN LOS RESULTADOS (10) *</t>
  </si>
  <si>
    <t>EXCEDENTE (DÉFICIT) DEL EJERCICIO (11)</t>
  </si>
  <si>
    <t>Modelo: CGN-2005-002</t>
  </si>
  <si>
    <t>CUENTA</t>
  </si>
  <si>
    <t>CODIGO</t>
  </si>
  <si>
    <t>BENEFICIARIO</t>
  </si>
  <si>
    <t xml:space="preserve">CORRIENTE </t>
  </si>
  <si>
    <t>TITULOS DE TESORERIA TES</t>
  </si>
  <si>
    <t>BANCO DE LA REPUBLICA</t>
  </si>
  <si>
    <t>CERTIFICADOS DE DEPOSITO A TERMINO</t>
  </si>
  <si>
    <t>BONOS Y TITULOS EMITIDOS GOBIERNO GENERAL NAL</t>
  </si>
  <si>
    <t>ESCUELAS INDUSTRIALES E INSTITUTOS TECNICOS</t>
  </si>
  <si>
    <t>ALCALDIA MUNICIPAL DE  ABRIAQUI</t>
  </si>
  <si>
    <t>ALCALDIA MUNICIPAL DE  ACACIAS</t>
  </si>
  <si>
    <t>ALCALDIA MUNICIPAL DE  ACEVEDO</t>
  </si>
  <si>
    <t>ALCALDIA MUNICIPAL DE  AGRADO</t>
  </si>
  <si>
    <t>ALCALDIA MUNICIPAL DE  AGUA DE DIOS</t>
  </si>
  <si>
    <t>ALCALDIA MUNICIPAL DE  AGUADA</t>
  </si>
  <si>
    <t>ALCALDIA MUNICIPAL DE  AGUADAS</t>
  </si>
  <si>
    <t>ALCALDIA MUNICIPAL DE  AGUAZUL</t>
  </si>
  <si>
    <t>ALCALDIA MUNICIPAL DE  AIPE</t>
  </si>
  <si>
    <t>ALCALDIA MUNICIPAL DE  ALBAN</t>
  </si>
  <si>
    <t>ALCALDIA MUNICIPAL DE  ALBANIA (CAQUETA)</t>
  </si>
  <si>
    <t>ALCALDIA MUNICIPAL DE  ALBANIA (SANTANDER)</t>
  </si>
  <si>
    <t>ALCALDIA MUNICIPAL DE  ALCALA</t>
  </si>
  <si>
    <t>212105021</t>
  </si>
  <si>
    <t>ALCALDIA MUNICIPAL DE  ALEJANDRIA</t>
  </si>
  <si>
    <t>213047030</t>
  </si>
  <si>
    <t>ALCALDIA MUNICIPAL DE  ALGARROBO</t>
  </si>
  <si>
    <t>ALCALDIA MUNICIPAL DE  ALGECIRAS</t>
  </si>
  <si>
    <t>212215022</t>
  </si>
  <si>
    <t>ALCALDIA MUNICIPAL DE  ALMEIDA</t>
  </si>
  <si>
    <t>ALCALDIA MUNICIPAL DE  ALPUJARRA</t>
  </si>
  <si>
    <t>ALCALDIA MUNICIPAL DE  ALTAMIRA</t>
  </si>
  <si>
    <t>ALCALDIA MUNICIPAL DE  ALVARADO</t>
  </si>
  <si>
    <t>213005030</t>
  </si>
  <si>
    <t>ALCALDIA MUNICIPAL DE  AMAGA</t>
  </si>
  <si>
    <t>213105031</t>
  </si>
  <si>
    <t>ALCALDIA MUNICIPAL DE  AMALFI</t>
  </si>
  <si>
    <t>ALCALDIA MUNICIPAL DE  AMBALEMA</t>
  </si>
  <si>
    <t>213525035</t>
  </si>
  <si>
    <t>ALCALDIA MUNICIPAL DE  ANAPOIMA</t>
  </si>
  <si>
    <t>ALCALDIA MUNICIPAL DE  ANDALUCIA</t>
  </si>
  <si>
    <t>ALCALDIA MUNICIPAL DE  ANGELOPOLIS</t>
  </si>
  <si>
    <t>213805038</t>
  </si>
  <si>
    <t>ALCALDIA MUNICIPAL DE  ANGOSTURA</t>
  </si>
  <si>
    <t>214025040</t>
  </si>
  <si>
    <t>ALCALDIA MUNICIPAL DE  ANOLAIMA</t>
  </si>
  <si>
    <t>214005040</t>
  </si>
  <si>
    <t>ALCALDIA MUNICIPAL DE  ANORI</t>
  </si>
  <si>
    <t>ALCALDIA MUNICIPAL DE  ANSERMA</t>
  </si>
  <si>
    <t>ALCALDIA MUNICIPAL DE  ANSERMANUEVO</t>
  </si>
  <si>
    <t>ALCALDIA MUNICIPAL DE  ANZOATEGUI</t>
  </si>
  <si>
    <t>ALCALDIA MUNICIPAL DE  APIA</t>
  </si>
  <si>
    <t>ALCALDIA MUNICIPAL DE  APULO</t>
  </si>
  <si>
    <t>214715047</t>
  </si>
  <si>
    <t>ALCALDIA MUNICIPAL DE  AQUITANIA</t>
  </si>
  <si>
    <t>215347053</t>
  </si>
  <si>
    <t>ALCALDIA MUNICIPAL DE  ARACATACA</t>
  </si>
  <si>
    <t>ALCALDIA MUNICIPAL DE  ARANZAZU</t>
  </si>
  <si>
    <t>215168051</t>
  </si>
  <si>
    <t>ALCALDIA MUNICIPAL DE  ARATOCA</t>
  </si>
  <si>
    <t>ALCALDIA MUNICIPAL DE  ARAUCA</t>
  </si>
  <si>
    <t>ALCALDIA MUNICIPAL DE  ARAUQUITA</t>
  </si>
  <si>
    <t>215325053</t>
  </si>
  <si>
    <t>ALCALDIA MUNICIPAL DE  ARBELAEZ</t>
  </si>
  <si>
    <t>ALCALDIA MUNICIPAL DE  ARBOLEDA</t>
  </si>
  <si>
    <t>ALCALDIA MUNICIPAL DE  ARBOLEDAS</t>
  </si>
  <si>
    <t>215115051</t>
  </si>
  <si>
    <t>ALCALDIA MUNICIPAL DE  ARCABUCO</t>
  </si>
  <si>
    <t>ALCALDIA MUNICIPAL DE  ARGELIA</t>
  </si>
  <si>
    <t>215505055</t>
  </si>
  <si>
    <t>ALCALDIA MUNICIPAL DE  ARGELIA (VALLE DEL CAUCA)</t>
  </si>
  <si>
    <t>215905059</t>
  </si>
  <si>
    <t>ALCALDIA MUNICIPAL DE  ARMENIA</t>
  </si>
  <si>
    <t>ALCALDIA MUNICIPAL DE  ATACO</t>
  </si>
  <si>
    <t>216823068</t>
  </si>
  <si>
    <t>ALCALDIA MUNICIPAL DE  AYAPEL</t>
  </si>
  <si>
    <t>217527075</t>
  </si>
  <si>
    <t>ALCALDIA MUNICIPAL DE  BAHIA SOLANO</t>
  </si>
  <si>
    <t>217519075</t>
  </si>
  <si>
    <t>ALCALDIA MUNICIPAL DE  BALBOA</t>
  </si>
  <si>
    <t>217841078</t>
  </si>
  <si>
    <t>ALCALDIA MUNICIPAL DE  BARAYA</t>
  </si>
  <si>
    <t>217768077</t>
  </si>
  <si>
    <t>ALCALDIA MUNICIPAL DE  BARBOSA</t>
  </si>
  <si>
    <t>217968079</t>
  </si>
  <si>
    <t>ALCALDIA MUNICIPAL DE  BARICHARA</t>
  </si>
  <si>
    <t>ALCALDIA MUNICIPAL DE  BARRANCA DE UPIA</t>
  </si>
  <si>
    <t>218168081</t>
  </si>
  <si>
    <t>ALCALDIA MUNICIPAL DE  BARRANCABERMEJA</t>
  </si>
  <si>
    <t>ALCALDIA MUNICIPAL DE  BARRANQUILLA</t>
  </si>
  <si>
    <t>214520045</t>
  </si>
  <si>
    <t>ALCALDIA MUNICIPAL DE  BECERRIL</t>
  </si>
  <si>
    <t>ALCALDIA MUNICIPAL DE  BELEN</t>
  </si>
  <si>
    <t>ALCALDIA MUNICIPAL DE  BELEN DE LOS ANDAQUIES</t>
  </si>
  <si>
    <t>ALCALDIA MUNICIPAL DE  BELEN DE UMBRIA</t>
  </si>
  <si>
    <t>218805088</t>
  </si>
  <si>
    <t>ALCALDIA MUNICIPAL DE  BELLO</t>
  </si>
  <si>
    <t>218605086</t>
  </si>
  <si>
    <t>ALCALDIA MUNICIPAL DE  BELMIRA</t>
  </si>
  <si>
    <t>218625086</t>
  </si>
  <si>
    <t>ALCALDIA MUNICIPAL DE  BELTRAN</t>
  </si>
  <si>
    <t>219015090</t>
  </si>
  <si>
    <t>ALCALDIA MUNICIPAL DE  BERBEO</t>
  </si>
  <si>
    <t>219215092</t>
  </si>
  <si>
    <t>ALCALDIA MUNICIPAL DE  BETEITIVA</t>
  </si>
  <si>
    <t>219268092</t>
  </si>
  <si>
    <t>ALCALDIA MUNICIPAL DE  BETULIA</t>
  </si>
  <si>
    <t>219525095</t>
  </si>
  <si>
    <t>ALCALDIA MUNICIPAL DE  BITUIMA</t>
  </si>
  <si>
    <t>219715097</t>
  </si>
  <si>
    <t>ALCALDIA MUNICIPAL DE  BOAVITA</t>
  </si>
  <si>
    <t>ALCALDIA MUNICIPAL DE  BOGOTA</t>
  </si>
  <si>
    <t>219925099</t>
  </si>
  <si>
    <t>ALCALDIA MUNICIPAL DE  BOJACA</t>
  </si>
  <si>
    <t>ALCALDIA MUNICIPAL DE  BOLIVAR (CAUCA)</t>
  </si>
  <si>
    <t>ALCALDIA MUNICIPAL DE  BOLIVAR (SANTANDER)</t>
  </si>
  <si>
    <t>ALCALDIA MUNICIPAL DE  BOYACA</t>
  </si>
  <si>
    <t>210705107</t>
  </si>
  <si>
    <t>ALCALDIA MUNICIPAL DE  BRICEÑO (BOYACA)</t>
  </si>
  <si>
    <t>210168001</t>
  </si>
  <si>
    <t>ALCALDIA MUNICIPAL DE  BUCARAMANGA</t>
  </si>
  <si>
    <t>ALCALDIA MUNICIPAL DE  BUCARASICA</t>
  </si>
  <si>
    <t>ALCALDIA MUNICIPAL DE  BUENAVISTA (BOYACA)</t>
  </si>
  <si>
    <t>ALCALDIA MUNICIPAL DE  BUENAVISTA (QUINDIO)</t>
  </si>
  <si>
    <t>ALCALDIA MUNICIPAL DE  BUGA</t>
  </si>
  <si>
    <t>ALCALDIA MUNICIPAL DE  BUGALAGRANDE</t>
  </si>
  <si>
    <t>ALCALDIA MUNICIPAL DE  BUSBANZA</t>
  </si>
  <si>
    <t>212025120</t>
  </si>
  <si>
    <t>ALCALDIA MUNICIPAL DE  CABRERA</t>
  </si>
  <si>
    <t>ALCALDIA MUNICIPAL DE  CABUYARO</t>
  </si>
  <si>
    <t>212005120</t>
  </si>
  <si>
    <t>ALCALDIA MUNICIPAL DE  CACERES</t>
  </si>
  <si>
    <t>ALCALDIA MUNICIPAL DE  CACOTA</t>
  </si>
  <si>
    <t>212505125</t>
  </si>
  <si>
    <t>ALCALDIA MUNICIPAL DE  CAICEDO</t>
  </si>
  <si>
    <t>ALCALDIA MUNICIPAL DE  CAICEDONIA</t>
  </si>
  <si>
    <t>ALCALDIA MUNICIPAL DE  CAJAMARCA</t>
  </si>
  <si>
    <t>212625126</t>
  </si>
  <si>
    <t>ALCALDIA MUNICIPAL DE  CAJICA</t>
  </si>
  <si>
    <t>ALCALDIA MUNICIPAL DE  CALAMAR</t>
  </si>
  <si>
    <t>ALCALDIA MUNICIPAL DE  CALARCA</t>
  </si>
  <si>
    <t>212905129</t>
  </si>
  <si>
    <t>ALCALDIA MUNICIPAL DE  CALDAS (ANTIOQUIA)</t>
  </si>
  <si>
    <t>213115131</t>
  </si>
  <si>
    <t>ALCALDIA MUNICIPAL DE  CALDAS (BOYACA)</t>
  </si>
  <si>
    <t>ALCALDIA MUNICIPAL DE  CALDONO</t>
  </si>
  <si>
    <t>ALCALDIA MUNICIPAL DE  CALI</t>
  </si>
  <si>
    <t>213268132</t>
  </si>
  <si>
    <t>ALCALDIA MUNICIPAL DE  CALIFORNIA</t>
  </si>
  <si>
    <t>ALCALDIA MUNICIPAL DE  CALIMA</t>
  </si>
  <si>
    <t>ALCALDIA MUNICIPAL DE  CALOTO</t>
  </si>
  <si>
    <t>213405134</t>
  </si>
  <si>
    <t>ALCALDIA MUNICIPAL DE  CAMPAMENTO</t>
  </si>
  <si>
    <t>213708137</t>
  </si>
  <si>
    <t>ALCALDIA MUNICIPAL DE  CAMPO DE LA CRUZ</t>
  </si>
  <si>
    <t>213241132</t>
  </si>
  <si>
    <t>ALCALDIA MUNICIPAL DE  CAMPOALEGRE</t>
  </si>
  <si>
    <t>213515135</t>
  </si>
  <si>
    <t>ALCALDIA MUNICIPAL DE  CAMPOHERMOSO</t>
  </si>
  <si>
    <t>ALCALDIA MUNICIPAL DE  CANDELARIA</t>
  </si>
  <si>
    <t>216013160</t>
  </si>
  <si>
    <t>ALCALDIA MUNICIPAL DE  CANTAGALLO</t>
  </si>
  <si>
    <t>214768147</t>
  </si>
  <si>
    <t>ALCALDIA MUNICIPAL DE  CAPITANEJO</t>
  </si>
  <si>
    <t>215125151</t>
  </si>
  <si>
    <t>ALCALDIA MUNICIPAL DE  CAQUEZA</t>
  </si>
  <si>
    <t>214505145</t>
  </si>
  <si>
    <t>ALCALDIA MUNICIPAL DE  CARAMANTA</t>
  </si>
  <si>
    <t>ALCALDIA MUNICIPAL DE  CARCASI</t>
  </si>
  <si>
    <t>ALCALDIA MUNICIPAL DE  CARMEN DE APICALA</t>
  </si>
  <si>
    <t>215425154</t>
  </si>
  <si>
    <t>ALCALDIA MUNICIPAL DE  CARMEN DE CARUPA</t>
  </si>
  <si>
    <t>ALCALDIA MUNICIPAL DE  CAROLINA</t>
  </si>
  <si>
    <t>ALCALDIA MUNICIPAL DE  CARTAGENA</t>
  </si>
  <si>
    <t>ALCALDIA MUNICIPAL DE  CARTAGO</t>
  </si>
  <si>
    <t>215405154</t>
  </si>
  <si>
    <t>ALCALDIA MUNICIPAL DE  CAUCASIA</t>
  </si>
  <si>
    <t>216223162</t>
  </si>
  <si>
    <t>ALCALDIA MUNICIPAL DE  CERETE</t>
  </si>
  <si>
    <t>216215162</t>
  </si>
  <si>
    <t>ALCALDIA MUNICIPAL DE  CERINZA</t>
  </si>
  <si>
    <t>ALCALDIA MUNICIPAL DE  CERRITO</t>
  </si>
  <si>
    <t>216825168</t>
  </si>
  <si>
    <t>ALCALDIA MUNICIPAL DE  CHAGUANI</t>
  </si>
  <si>
    <t>ALCALDIA MUNICIPAL DE  CHAMEZA</t>
  </si>
  <si>
    <t>ALCALDIA MUNICIPAL DE  CHAPARRAL</t>
  </si>
  <si>
    <t>216768167</t>
  </si>
  <si>
    <t>ALCALDIA MUNICIPAL DE  CHARALA</t>
  </si>
  <si>
    <t>216968169</t>
  </si>
  <si>
    <t>ALCALDIA MUNICIPAL DE  CHARTA</t>
  </si>
  <si>
    <t>217525175</t>
  </si>
  <si>
    <t>ALCALDIA MUNICIPAL DE  CHIA</t>
  </si>
  <si>
    <t>217047170</t>
  </si>
  <si>
    <t>ALCALDIA MUNICIPAL DE  CHIBOLO</t>
  </si>
  <si>
    <t>217668176</t>
  </si>
  <si>
    <t>ALCALDIA MUNICIPAL DE  CHIMA</t>
  </si>
  <si>
    <t>ALCALDIA MUNICIPAL DE  CHINACOTA</t>
  </si>
  <si>
    <t>217215172</t>
  </si>
  <si>
    <t>ALCALDIA MUNICIPAL DE  CHINAVITA</t>
  </si>
  <si>
    <t>ALCALDIA MUNICIPAL DE  CHINCHINA</t>
  </si>
  <si>
    <t>217825178</t>
  </si>
  <si>
    <t>ALCALDIA MUNICIPAL DE  CHIPAQUE</t>
  </si>
  <si>
    <t>217968179</t>
  </si>
  <si>
    <t>ALCALDIA MUNICIPAL DE  CHIPATA</t>
  </si>
  <si>
    <t>217615176</t>
  </si>
  <si>
    <t>ALCALDIA MUNICIPAL DE  CHIQUINQUIRA</t>
  </si>
  <si>
    <t>ALCALDIA MUNICIPAL DE  CHIQUIZA</t>
  </si>
  <si>
    <t>218015180</t>
  </si>
  <si>
    <t>ALCALDIA MUNICIPAL DE  CHISCAS</t>
  </si>
  <si>
    <t>218315183</t>
  </si>
  <si>
    <t>ALCALDIA MUNICIPAL DE  CHITA</t>
  </si>
  <si>
    <t>218515185</t>
  </si>
  <si>
    <t>ALCALDIA MUNICIPAL DE  CHITARAQUE</t>
  </si>
  <si>
    <t>218715187</t>
  </si>
  <si>
    <t>ALCALDIA MUNICIPAL DE  CHIVATA</t>
  </si>
  <si>
    <t>213615236</t>
  </si>
  <si>
    <t>ALCALDIA MUNICIPAL DE  CHIVOR</t>
  </si>
  <si>
    <t>218125181</t>
  </si>
  <si>
    <t>ALCALDIA MUNICIPAL DE  CHOACHI</t>
  </si>
  <si>
    <t>218325183</t>
  </si>
  <si>
    <t>ALCALDIA MUNICIPAL DE  CHOCONTA</t>
  </si>
  <si>
    <t>ALCALDIA MUNICIPAL DE  CIENAGA DE ORO</t>
  </si>
  <si>
    <t>ALCALDIA MUNICIPAL DE  CIENEGA</t>
  </si>
  <si>
    <t>219068190</t>
  </si>
  <si>
    <t>ALCALDIA MUNICIPAL DE  CIMITARRA</t>
  </si>
  <si>
    <t>ALCALDIA MUNICIPAL DE  CIRCASIA</t>
  </si>
  <si>
    <t>219705197</t>
  </si>
  <si>
    <t>ALCALDIA MUNICIPAL DE  COCORNA</t>
  </si>
  <si>
    <t>ALCALDIA MUNICIPAL DE  COELLO</t>
  </si>
  <si>
    <t>210025200</t>
  </si>
  <si>
    <t>ALCALDIA MUNICIPAL DE  COGUA</t>
  </si>
  <si>
    <t>ALCALDIA MUNICIPAL DE  COLON</t>
  </si>
  <si>
    <t>210415204</t>
  </si>
  <si>
    <t>ALCALDIA MUNICIPAL DE  COMBITA</t>
  </si>
  <si>
    <t>210768207</t>
  </si>
  <si>
    <t>ALCALDIA MUNICIPAL DE  CONCEPCION</t>
  </si>
  <si>
    <t>210527205</t>
  </si>
  <si>
    <t>ALCALDIA MUNICIPAL DE  CONDOTO</t>
  </si>
  <si>
    <t>210968209</t>
  </si>
  <si>
    <t>ALCALDIA MUNICIPAL DE  CONFINES</t>
  </si>
  <si>
    <t>211168211</t>
  </si>
  <si>
    <t>ALCALDIA MUNICIPAL DE  CONTRATACION</t>
  </si>
  <si>
    <t>211205212</t>
  </si>
  <si>
    <t>ALCALDIA MUNICIPAL DE  COPACABANA</t>
  </si>
  <si>
    <t>211215212</t>
  </si>
  <si>
    <t>ALCALDIA MUNICIPAL DE  COPER</t>
  </si>
  <si>
    <t>ALCALDIA MUNICIPAL DE  CORDOBA</t>
  </si>
  <si>
    <t>ALCALDIA MUNICIPAL DE  CORINTO</t>
  </si>
  <si>
    <t>211768217</t>
  </si>
  <si>
    <t>ALCALDIA MUNICIPAL DE  COROMORO</t>
  </si>
  <si>
    <t>ALCALDIA MUNICIPAL DE  COROZAL</t>
  </si>
  <si>
    <t>211515215</t>
  </si>
  <si>
    <t>ALCALDIA MUNICIPAL DE  CORRALES</t>
  </si>
  <si>
    <t>211425214</t>
  </si>
  <si>
    <t>ALCALDIA MUNICIPAL DE  COTA</t>
  </si>
  <si>
    <t>211815218</t>
  </si>
  <si>
    <t>ALCALDIA MUNICIPAL DE  COVARACHIA</t>
  </si>
  <si>
    <t>ALCALDIA MUNICIPAL DE  COYAIMA</t>
  </si>
  <si>
    <t>ALCALDIA MUNICIPAL DE  CRAVO NORTE</t>
  </si>
  <si>
    <t>212315223</t>
  </si>
  <si>
    <t>ALCALDIA MUNICIPAL DE  CUBARA</t>
  </si>
  <si>
    <t>ALCALDIA MUNICIPAL DE  CUBARRAL</t>
  </si>
  <si>
    <t>212415224</t>
  </si>
  <si>
    <t>ALCALDIA MUNICIPAL DE  CUCAITA</t>
  </si>
  <si>
    <t>212425224</t>
  </si>
  <si>
    <t>ALCALDIA MUNICIPAL DE  CUCUNUBA</t>
  </si>
  <si>
    <t>ALCALDIA MUNICIPAL DE  CUCUTA</t>
  </si>
  <si>
    <t>ALCALDIA MUNICIPAL DE  CUCUTILLA</t>
  </si>
  <si>
    <t>212615226</t>
  </si>
  <si>
    <t>ALCALDIA MUNICIPAL DE  CUITIVA</t>
  </si>
  <si>
    <t>ALCALDIA MUNICIPAL DE  CUMARAL</t>
  </si>
  <si>
    <t>ALCALDIA MUNICIPAL DE  CUMARIBO</t>
  </si>
  <si>
    <t>ALCALDIA MUNICIPAL DE  CUNDAY</t>
  </si>
  <si>
    <t>210518205</t>
  </si>
  <si>
    <t>ALCALDIA MUNICIPAL DE  CURILLO</t>
  </si>
  <si>
    <t>ALCALDIA MUNICIPAL DE  CURITI</t>
  </si>
  <si>
    <t>212820228</t>
  </si>
  <si>
    <t>ALCALDIA MUNICIPAL DE  CURUMANI</t>
  </si>
  <si>
    <t>ALCALDIA MUNICIPAL DE  DAGUA</t>
  </si>
  <si>
    <t>ALCALDIA MUNICIPAL DE  DOLORES</t>
  </si>
  <si>
    <t>213705237</t>
  </si>
  <si>
    <t>ALCALDIA MUNICIPAL DE  DON MATIAS</t>
  </si>
  <si>
    <t>ALCALDIA MUNICIPAL DE  DOSQUEBRADAS</t>
  </si>
  <si>
    <t>213815238</t>
  </si>
  <si>
    <t>ALCALDIA MUNICIPAL DE  DUITAMA</t>
  </si>
  <si>
    <t>ALCALDIA MUNICIPAL DE  EL AGUILA</t>
  </si>
  <si>
    <t>ALCALDIA MUNICIPAL DE  EL CAIRO</t>
  </si>
  <si>
    <t>ALCALDIA MUNICIPAL DE  EL CANTON DEL SAN PABLO</t>
  </si>
  <si>
    <t>ALCALDIA MUNICIPAL DE  EL CARMEN</t>
  </si>
  <si>
    <t>ALCALDIA MUNICIPAL DE  EL CARMEN DE ATRATO</t>
  </si>
  <si>
    <t>214413244</t>
  </si>
  <si>
    <t>ALCALDIA MUNICIPAL DE  EL CARMEN DE BOLIVAR</t>
  </si>
  <si>
    <t>ALCALDIA MUNICIPAL DE  EL CASTILLO</t>
  </si>
  <si>
    <t>ALCALDIA MUNICIPAL DE  EL CERRITO</t>
  </si>
  <si>
    <t>214415244</t>
  </si>
  <si>
    <t>ALCALDIA MUNICIPAL DE  EL COCUY</t>
  </si>
  <si>
    <t>214525245</t>
  </si>
  <si>
    <t>Incluye Junta Central de Contadores</t>
  </si>
  <si>
    <t>218625486</t>
  </si>
  <si>
    <t>ALCALDIA MUNICIPAL DE  NEMOCON</t>
  </si>
  <si>
    <t>218825488</t>
  </si>
  <si>
    <t>ALCALDIA MUNICIPAL DE  NILO</t>
  </si>
  <si>
    <t>218925489</t>
  </si>
  <si>
    <t>ALCALDIA MUNICIPAL DE  NIMAIMA</t>
  </si>
  <si>
    <t>219115491</t>
  </si>
  <si>
    <t>ALCALDIA MUNICIPAL DE  NOBSA</t>
  </si>
  <si>
    <t>219125491</t>
  </si>
  <si>
    <t>ALCALDIA MUNICIPAL DE  NOCAIMA</t>
  </si>
  <si>
    <t>ALCALDIA MUNICIPAL DE  NORCASIA</t>
  </si>
  <si>
    <t>219415494</t>
  </si>
  <si>
    <t>ALCALDIA MUNICIPAL DE  NUEVO COLON</t>
  </si>
  <si>
    <t>ALCALDIA MUNICIPAL DE  NUNCHIA</t>
  </si>
  <si>
    <t>ALCALDIA MUNICIPAL DE  OBANDO</t>
  </si>
  <si>
    <t>219868498</t>
  </si>
  <si>
    <t>ALCALDIA MUNICIPAL DE  OCAMONTE</t>
  </si>
  <si>
    <t>210068500</t>
  </si>
  <si>
    <t>ALCALDIA MUNICIPAL DE  OIBA</t>
  </si>
  <si>
    <t>210015500</t>
  </si>
  <si>
    <t>ALCALDIA MUNICIPAL DE  OICATA</t>
  </si>
  <si>
    <t>ALCALDIA MUNICIPAL DE  OLAYA</t>
  </si>
  <si>
    <t>210268502</t>
  </si>
  <si>
    <t>ALCALDIA MUNICIPAL DE  ONZAGA</t>
  </si>
  <si>
    <t>210341503</t>
  </si>
  <si>
    <t>ALCALDIA MUNICIPAL DE  OPORAPA</t>
  </si>
  <si>
    <t>ALCALDIA MUNICIPAL DE  ORITO</t>
  </si>
  <si>
    <t>ALCALDIA MUNICIPAL DE  OROCUE</t>
  </si>
  <si>
    <t>ALCALDIA MUNICIPAL DE  ORTEGA</t>
  </si>
  <si>
    <t>210715507</t>
  </si>
  <si>
    <t>ALCALDIA MUNICIPAL DE  OTANCHE</t>
  </si>
  <si>
    <t>ALCALDIA MUNICIPAL DE  OVEJAS</t>
  </si>
  <si>
    <t>211115511</t>
  </si>
  <si>
    <t>ALCALDIA MUNICIPAL DE  PACHAVITA</t>
  </si>
  <si>
    <t>211325513</t>
  </si>
  <si>
    <t>ALCALDIA MUNICIPAL DE  PACHO</t>
  </si>
  <si>
    <t>ALCALDIA MUNICIPAL DE  PACORA</t>
  </si>
  <si>
    <t>ALCALDIA MUNICIPAL DE  PAEZ</t>
  </si>
  <si>
    <t>211841518</t>
  </si>
  <si>
    <t>ALCALDIA MUNICIPAL DE  PAICOL</t>
  </si>
  <si>
    <t>211615516</t>
  </si>
  <si>
    <t>ALCALDIA MUNICIPAL DE  PAIPA</t>
  </si>
  <si>
    <t>211815518</t>
  </si>
  <si>
    <t>ALCALDIA MUNICIPAL DE  PAJARITO</t>
  </si>
  <si>
    <t>212441524</t>
  </si>
  <si>
    <t>ALCALDIA MUNICIPAL DE  PALERMO</t>
  </si>
  <si>
    <t>ALCALDIA MUNICIPAL DE  PALESTINA</t>
  </si>
  <si>
    <t>212268522</t>
  </si>
  <si>
    <t>ALCALDIA MUNICIPAL DE  PALMAR</t>
  </si>
  <si>
    <t>212468524</t>
  </si>
  <si>
    <t>ALCALDIA MUNICIPAL DE  PALMAS DEL SOCORRO</t>
  </si>
  <si>
    <t>ALCALDIA MUNICIPAL DE  PALMIRA</t>
  </si>
  <si>
    <t>ALCALDIA MUNICIPAL DE  PALOCABILDO</t>
  </si>
  <si>
    <t>ALCALDIA MUNICIPAL DE  PAMPLONA</t>
  </si>
  <si>
    <t>ALCALDIA MUNICIPAL DE  PAMPLONITA</t>
  </si>
  <si>
    <t>212425524</t>
  </si>
  <si>
    <t>ALCALDIA MUNICIPAL DE  PANDI</t>
  </si>
  <si>
    <t>ALCALDIA MUNICIPAL DE  PANQUEBA</t>
  </si>
  <si>
    <t>213368533</t>
  </si>
  <si>
    <t>ALCALDIA MUNICIPAL DE  PARAMO</t>
  </si>
  <si>
    <t>213025530</t>
  </si>
  <si>
    <t>ALCALDIA MUNICIPAL DE  PARATEBUENO</t>
  </si>
  <si>
    <t>213525535</t>
  </si>
  <si>
    <t>ALCALDIA MUNICIPAL DE  PASCA</t>
  </si>
  <si>
    <t>210152001</t>
  </si>
  <si>
    <t>ALCALDIA MUNICIPAL DE  PASTO</t>
  </si>
  <si>
    <t>ALCALDIA MUNICIPAL DE  PATIA</t>
  </si>
  <si>
    <t>213115531</t>
  </si>
  <si>
    <t>ALCALDIA MUNICIPAL DE  PAUNA</t>
  </si>
  <si>
    <t>213315533</t>
  </si>
  <si>
    <t>ALCALDIA MUNICIPAL DE  PAYA</t>
  </si>
  <si>
    <t>ALCALDIA MUNICIPAL DE  PAZ DE ARIPORO</t>
  </si>
  <si>
    <t>213715537</t>
  </si>
  <si>
    <t>ALCALDIA MUNICIPAL DE  PAZ DEL RIO</t>
  </si>
  <si>
    <t>215020550</t>
  </si>
  <si>
    <t>ALCALDIA MUNICIPAL DE  PELAYA</t>
  </si>
  <si>
    <t>ALCALDIA MUNICIPAL DE  PENSILVANIA</t>
  </si>
  <si>
    <t>ALCALDIA MUNICIPAL DE  PEÑOL</t>
  </si>
  <si>
    <t>ALCALDIA MUNICIPAL DE  PEREIRA</t>
  </si>
  <si>
    <t>214215542</t>
  </si>
  <si>
    <t>ALCALDIA MUNICIPAL DE  PESCA</t>
  </si>
  <si>
    <t>ALCALDIA MUNICIPAL DE  PIAMONTE</t>
  </si>
  <si>
    <t>214768547</t>
  </si>
  <si>
    <t>ALCALDIA MUNICIPAL DE  PIEDECUESTA</t>
  </si>
  <si>
    <t>ALCALDIA MUNICIPAL DE  PIEDRAS</t>
  </si>
  <si>
    <t>ALCALDIA MUNICIPAL DE  PIENDAMO</t>
  </si>
  <si>
    <t>ALCALDIA MUNICIPAL DE  PIJAO</t>
  </si>
  <si>
    <t>214968549</t>
  </si>
  <si>
    <t>ALCALDIA MUNICIPAL DE  PINCHOTE</t>
  </si>
  <si>
    <t>215015550</t>
  </si>
  <si>
    <t>ALCALDIA MUNICIPAL DE  PISBA</t>
  </si>
  <si>
    <t>ALCALDIA MUNICIPAL DE  PITAL</t>
  </si>
  <si>
    <t>215141551</t>
  </si>
  <si>
    <t>ALCALDIA MUNICIPAL DE  PITALITO</t>
  </si>
  <si>
    <t>ALCALDIA MUNICIPAL DE  PLANADAS</t>
  </si>
  <si>
    <t>215523555</t>
  </si>
  <si>
    <t>ALCALDIA MUNICIPAL DE  PLANETA RICA</t>
  </si>
  <si>
    <t>ALCALDIA MUNICIPAL DE  PLATO</t>
  </si>
  <si>
    <t>215808558</t>
  </si>
  <si>
    <t>ALCALDIA MUNICIPAL DE  POLONUEVO</t>
  </si>
  <si>
    <t>210119001</t>
  </si>
  <si>
    <t>ALCALDIA MUNICIPAL DE  POPAYAN</t>
  </si>
  <si>
    <t>ALCALDIA MUNICIPAL DE  PORE</t>
  </si>
  <si>
    <t>ALCALDIA MUNICIPAL DE  PRADERA</t>
  </si>
  <si>
    <t>ALCALDIA MUNICIPAL DE  PRADO</t>
  </si>
  <si>
    <t>ALCALDIA MUNICIPAL DE  PROVIDENCIA</t>
  </si>
  <si>
    <t>ALCALDIA MUNICIPAL DE  PUEBLOVIEJO</t>
  </si>
  <si>
    <t>217268572</t>
  </si>
  <si>
    <t>ALCALDIA MUNICIPAL DE  PUENTE NACIONAL</t>
  </si>
  <si>
    <t>ALCALDIA MUNICIPAL DE  PUERTO ASIS</t>
  </si>
  <si>
    <t>217905579</t>
  </si>
  <si>
    <t>ALCALDIA MUNICIPAL DE  PUERTO BERRIO</t>
  </si>
  <si>
    <t>217215572</t>
  </si>
  <si>
    <t>ALCALDIA MUNICIPAL DE  PUERTO BOYACA</t>
  </si>
  <si>
    <t>ALCALDIA MUNICIPAL DE  PUERTO CAICEDO</t>
  </si>
  <si>
    <t>ALCALDIA MUNICIPAL DE  PUERTO CARREÑO</t>
  </si>
  <si>
    <t>ALCALDIA MUNICIPAL DE  PUERTO CONCORDIA</t>
  </si>
  <si>
    <t>ALCALDIA MUNICIPAL DE  PUERTO GAITAN</t>
  </si>
  <si>
    <t>ALCALDIA MUNICIPAL DE  PUERTO GUZMAN</t>
  </si>
  <si>
    <t>ALCALDIA MUNICIPAL DE  PUERTO LEGUIZAMO</t>
  </si>
  <si>
    <t>ALCALDIA MUNICIPAL DE  PUERTO LLERAS</t>
  </si>
  <si>
    <t>ALCALDIA MUNICIPAL DE  PUERTO LOPEZ</t>
  </si>
  <si>
    <t>217368573</t>
  </si>
  <si>
    <t>ALCALDIA MUNICIPAL DE  PUERTO PARRA</t>
  </si>
  <si>
    <t>ALCALDIA MUNICIPAL DE  PUERTO RICO</t>
  </si>
  <si>
    <t>217225572</t>
  </si>
  <si>
    <t>ALCALDIA MUNICIPAL DE  PUERTO SALGAR</t>
  </si>
  <si>
    <t>ALCALDIA MUNICIPAL DE  PUERTO SANTANDER</t>
  </si>
  <si>
    <t>ALCALDIA MUNICIPAL DE  PUERTO TEJADA</t>
  </si>
  <si>
    <t>217568575</t>
  </si>
  <si>
    <t>ALCALDIA MUNICIPAL DE  PUERTO WILCHES</t>
  </si>
  <si>
    <t>218025580</t>
  </si>
  <si>
    <t>ALCALDIA MUNICIPAL DE  PULI</t>
  </si>
  <si>
    <t>ALCALDIA MUNICIPAL DE  PUPIALES</t>
  </si>
  <si>
    <t>ALCALDIA MUNICIPAL DE  PURACE</t>
  </si>
  <si>
    <t>ALCALDIA MUNICIPAL DE  PURIFICACION</t>
  </si>
  <si>
    <t>219225592</t>
  </si>
  <si>
    <t>ALCALDIA MUNICIPAL DE  QUEBRADANEGRA</t>
  </si>
  <si>
    <t>219425594</t>
  </si>
  <si>
    <t>ALCALDIA MUNICIPAL DE  QUETAME</t>
  </si>
  <si>
    <t>ALCALDIA MUNICIPAL DE  QUIBDO</t>
  </si>
  <si>
    <t>ALCALDIA MUNICIPAL DE  QUIMBAYA</t>
  </si>
  <si>
    <t>ALCALDIA MUNICIPAL DE  QUINCHIA</t>
  </si>
  <si>
    <t>ALCALDIA MUNICIPAL DE  QUIPAMA</t>
  </si>
  <si>
    <t>ALCALDIA MUNICIPAL DE  QUIPILE</t>
  </si>
  <si>
    <t>ALCALDIA MUNICIPAL DE  RAGONVALIA</t>
  </si>
  <si>
    <t>219915599</t>
  </si>
  <si>
    <t>ALCALDIA MUNICIPAL DE  RAMIRIQUI</t>
  </si>
  <si>
    <t>ALCALDIA MUNICIPAL DE  RAQUIRA</t>
  </si>
  <si>
    <t>ALCALDIA MUNICIPAL DE  RECETOR</t>
  </si>
  <si>
    <t>210405604</t>
  </si>
  <si>
    <t>ALCALDIA MUNICIPAL DE  REMEDIOS</t>
  </si>
  <si>
    <t>ALCALDIA MUNICIPAL DE  REMOLINO</t>
  </si>
  <si>
    <t>210608606</t>
  </si>
  <si>
    <t>ALCALDIA MUNICIPAL DE  REPELON</t>
  </si>
  <si>
    <t>ALCALDIA MUNICIPAL DE  RESTREPO</t>
  </si>
  <si>
    <t>210705607</t>
  </si>
  <si>
    <t>ALCALDIA MUNICIPAL DE  RETIRO</t>
  </si>
  <si>
    <t>ALCALDIA MUNICIPAL DE  RICAURTE</t>
  </si>
  <si>
    <t>ALCALDIA MUNICIPAL DE  RIO VIEJO</t>
  </si>
  <si>
    <t>ALCALDIA MUNICIPAL DE  RIOBLANCO</t>
  </si>
  <si>
    <t>210144001</t>
  </si>
  <si>
    <t>ALCALDIA MUNICIPAL DE  RIOHACHA</t>
  </si>
  <si>
    <t>211505615</t>
  </si>
  <si>
    <t>ALCALDIA MUNICIPAL DE  RIONEGRO (ANTIOQUIA)</t>
  </si>
  <si>
    <t>211568615</t>
  </si>
  <si>
    <t>ALCALDIA MUNICIPAL DE  RIONEGRO (SANTANDER)</t>
  </si>
  <si>
    <t>ALCALDIA MUNICIPAL DE  RIOSUCIO</t>
  </si>
  <si>
    <t>ALCALDIA MUNICIPAL DE  RISARALDA</t>
  </si>
  <si>
    <t>ALCALDIA MUNICIPAL DE  ROLDANILLO</t>
  </si>
  <si>
    <t>ALCALDIA MUNICIPAL DE  RONCESVALLES</t>
  </si>
  <si>
    <t>212115621</t>
  </si>
  <si>
    <t>ALCALDIA MUNICIPAL DE  RONDON</t>
  </si>
  <si>
    <t>ALCALDIA MUNICIPAL DE  ROSAS</t>
  </si>
  <si>
    <t>ALCALDIA MUNICIPAL DE  ROVIRA</t>
  </si>
  <si>
    <t>215568655</t>
  </si>
  <si>
    <t>ALCALDIA MUNICIPAL DE  SABANA DE TORRES</t>
  </si>
  <si>
    <t>213408634</t>
  </si>
  <si>
    <t>ALCALDIA MUNICIPAL DE  SABANAGRANDE</t>
  </si>
  <si>
    <t>ALCALDIA MUNICIPAL DE  SABANALARGA (ANTIOQUIA)</t>
  </si>
  <si>
    <t>212805628</t>
  </si>
  <si>
    <t>ALCALDIA MUNICIPAL DE  SABANALARGA (CASANARE)</t>
  </si>
  <si>
    <t>ALCALDIA MUNICIPAL DE  SABANAS DE SAN ANGEL</t>
  </si>
  <si>
    <t>213105631</t>
  </si>
  <si>
    <t>ALCALDIA MUNICIPAL DE  SABANETA</t>
  </si>
  <si>
    <t>213215632</t>
  </si>
  <si>
    <t>ALCALDIA MUNICIPAL DE  SABOYA</t>
  </si>
  <si>
    <t>ALCALDIA MUNICIPAL DE  SACAMA</t>
  </si>
  <si>
    <t>213815638</t>
  </si>
  <si>
    <t>ALCALDIA MUNICIPAL DE  SACHICA</t>
  </si>
  <si>
    <t>216023660</t>
  </si>
  <si>
    <t>ALCALDIA MUNICIPAL DE  SAHAGUN</t>
  </si>
  <si>
    <t>216041660</t>
  </si>
  <si>
    <t>ALCALDIA MUNICIPAL DE  SALADOBLANCO</t>
  </si>
  <si>
    <t>ALCALDIA MUNICIPAL DE  SALAMINA</t>
  </si>
  <si>
    <t>ALCALDIA MUNICIPAL DE  SALAZAR</t>
  </si>
  <si>
    <t>ALCALDIA MUNICIPAL DE  SALDAÑA</t>
  </si>
  <si>
    <t>ALCALDIA MUNICIPAL DE  SALENTO</t>
  </si>
  <si>
    <t>214205642</t>
  </si>
  <si>
    <t>ALCALDIA MUNICIPAL DE  SALGAR</t>
  </si>
  <si>
    <t>214615646</t>
  </si>
  <si>
    <t>ALCALDIA MUNICIPAL DE  SAMACA</t>
  </si>
  <si>
    <t>ALCALDIA MUNICIPAL DE  SAMANA</t>
  </si>
  <si>
    <t>ALCALDIA MUNICIPAL DE  SAMANIEGO</t>
  </si>
  <si>
    <t>ALCALDIA MUNICIPAL DE  SAMPUES</t>
  </si>
  <si>
    <t>216968669</t>
  </si>
  <si>
    <t>ALCALDIA MUNICIPAL DE  SAN ANDRES</t>
  </si>
  <si>
    <t>ALCALDIA MUNICIPAL DE  SAN ANDRES (SAN ANDRES)</t>
  </si>
  <si>
    <t>214705647</t>
  </si>
  <si>
    <t>ALCALDIA MUNICIPAL DE  SAN ANDRES (SANTANDER)</t>
  </si>
  <si>
    <t>ALCALDIA MUNICIPAL DE  SAN ANTONIO</t>
  </si>
  <si>
    <t>ALCALDIA MUNICIPAL DE  SAN ANTONIO DEL TEQUENDAMA</t>
  </si>
  <si>
    <t>217368673</t>
  </si>
  <si>
    <t>ALCALDIA MUNICIPAL DE  SAN BENITO</t>
  </si>
  <si>
    <t>ALCALDIA MUNICIPAL DE  SAN BENITO ABAD</t>
  </si>
  <si>
    <t>ALCALDIA MUNICIPAL DE  SAN BERNARDO</t>
  </si>
  <si>
    <t>ALCALDIA MUNICIPAL DE  SAN CALIXTO</t>
  </si>
  <si>
    <t>214905649</t>
  </si>
  <si>
    <t>ALCALDIA MUNICIPAL DE  SAN CARLOS</t>
  </si>
  <si>
    <t>217823678</t>
  </si>
  <si>
    <t>ALCALDIA MUNICIPAL DE  SAN CARLOS DE GUAROA</t>
  </si>
  <si>
    <t>ALCALDIA MUNICIPAL DE  SAN CAYETANO</t>
  </si>
  <si>
    <t>ALCALDIA MUNICIPAL DE  SAN CRISTOBAL</t>
  </si>
  <si>
    <t>216015660</t>
  </si>
  <si>
    <t>ALCALDIA MUNICIPAL DE  SAN EDUARDO</t>
  </si>
  <si>
    <t>214713647</t>
  </si>
  <si>
    <t>ALCALDIA MUNICIPAL DE  SAN ESTANISLAO</t>
  </si>
  <si>
    <t>ALCALDIA MUNICIPAL DE  SAN FRANCISCO</t>
  </si>
  <si>
    <t>217968679</t>
  </si>
  <si>
    <t>ALCALDIA MUNICIPAL DE  SAN GIL</t>
  </si>
  <si>
    <t>215413654</t>
  </si>
  <si>
    <t>ALCALDIA MUNICIPAL DE  SAN JACINTO DEL CAUCA</t>
  </si>
  <si>
    <t>218268682</t>
  </si>
  <si>
    <t>ALCALDIA MUNICIPAL DE  SAN JOAQUIN</t>
  </si>
  <si>
    <t>ALCALDIA MUNICIPAL DE  SAN JOSE</t>
  </si>
  <si>
    <t>218468684</t>
  </si>
  <si>
    <t>ALCALDIA MUNICIPAL DE  SAN JOSE DE MIRANDA</t>
  </si>
  <si>
    <t>216415664</t>
  </si>
  <si>
    <t>ALCALDIA MUNICIPAL DE  SAN JOSE DE PARE</t>
  </si>
  <si>
    <t>ALCALDIA MUNICIPAL DE  SAN JOSE DEL FRAGUA</t>
  </si>
  <si>
    <t>ALCALDIA MUNICIPAL DE  SAN JOSE DEL GUAVIARE</t>
  </si>
  <si>
    <t>ALCALDIA MUNICIPAL DE  SAN JOSE DEL PALMAR</t>
  </si>
  <si>
    <t>ALCALDIA MUNICIPAL DE  SAN JUAN DE ARAMA</t>
  </si>
  <si>
    <t>216225662</t>
  </si>
  <si>
    <t>ALCALDIA MUNICIPAL DE  SAN JUAN DE RIO SECO</t>
  </si>
  <si>
    <t>ALCALDIA MUNICIPAL DE  SAN JUANITO</t>
  </si>
  <si>
    <t>ALCALDIA MUNICIPAL DE  SAN LUIS</t>
  </si>
  <si>
    <t>216005660</t>
  </si>
  <si>
    <t>ALCALDIA MUNICIPAL DE  SAN LUIS DE GACENO</t>
  </si>
  <si>
    <t>ALCALDIA MUNICIPAL DE  SAN MARTIN</t>
  </si>
  <si>
    <t>217315673</t>
  </si>
  <si>
    <t>ALCALDIA MUNICIPAL DE  SAN MATEO</t>
  </si>
  <si>
    <t>218668686</t>
  </si>
  <si>
    <t>ALCALDIA MUNICIPAL DE  SAN MIGUEL</t>
  </si>
  <si>
    <t>ALCALDIA MUNICIPAL DE  SAN MIGUEL DE SEMA</t>
  </si>
  <si>
    <t>ALCALDIA MUNICIPAL DE  SAN PABLO DE BORBUR</t>
  </si>
  <si>
    <t>ALCALDIA MUNICIPAL DE  SAN PEDRO</t>
  </si>
  <si>
    <t>216405664</t>
  </si>
  <si>
    <t>ALCALDIA MUNICIPAL DE  SAN PEDRO DE CARTAGO</t>
  </si>
  <si>
    <t>216505665</t>
  </si>
  <si>
    <t>ALCALDIA MUNICIPAL DE  SAN PEDRO DE URABA</t>
  </si>
  <si>
    <t>218623686</t>
  </si>
  <si>
    <t>ALCALDIA MUNICIPAL DE  SAN PELAYO</t>
  </si>
  <si>
    <t>216705667</t>
  </si>
  <si>
    <t>ALCALDIA MUNICIPAL DE  SAN RAFAEL</t>
  </si>
  <si>
    <t>217005670</t>
  </si>
  <si>
    <t>ALCALDIA MUNICIPAL DE  SAN ROQUE</t>
  </si>
  <si>
    <t>217405674</t>
  </si>
  <si>
    <t>ALCALDIA MUNICIPAL DE  SAN VICENTE</t>
  </si>
  <si>
    <t>ALCALDIA MUNICIPAL DE  SAN VICENTE DE CHUCURI</t>
  </si>
  <si>
    <t>ALCALDIA MUNICIPAL DE  SAN VICENTE DEL CAGUAN</t>
  </si>
  <si>
    <t>ALCALDIA MUNICIPAL DE  SANTA BARBARA</t>
  </si>
  <si>
    <t>ALCALDIA MUNICIPAL DE  SANTA BARBARA DE PINTO</t>
  </si>
  <si>
    <t>212068720</t>
  </si>
  <si>
    <t>ALCALDIA MUNICIPAL DE  SANTA HELENA DEL OPON</t>
  </si>
  <si>
    <t>ALCALDIA MUNICIPAL DE  SANTA ISABEL</t>
  </si>
  <si>
    <t>ALCALDIA MUNICIPAL DE  SANTA MARIA</t>
  </si>
  <si>
    <t>217641676</t>
  </si>
  <si>
    <t>ALCALDIA MUNICIPAL DE  SANTA MARTA</t>
  </si>
  <si>
    <t>ALCALDIA MUNICIPAL DE  SANTA ROSA</t>
  </si>
  <si>
    <t>ALCALDIA MUNICIPAL DE  SANTA ROSA DE CABAL</t>
  </si>
  <si>
    <t>218605686</t>
  </si>
  <si>
    <t>ALCALDIA MUNICIPAL DE  SANTA ROSA DE OSOS</t>
  </si>
  <si>
    <t>ALCALDIA MUNICIPAL DE  SANTA ROSA DE VITERBO</t>
  </si>
  <si>
    <t>ALCALDIA MUNICIPAL DE  SANTA ROSA DEL SUR</t>
  </si>
  <si>
    <t>ALCALDIA MUNICIPAL DE  SANTA ROSALIA</t>
  </si>
  <si>
    <t>ALCALDIA MUNICIPAL DE  SANTA SOFIA</t>
  </si>
  <si>
    <t>ALCALDIA MUNICIPAL DE  SANTAFE DE ANTIOQUIA</t>
  </si>
  <si>
    <t>ALCALDIA MUNICIPAL DE  SANTANA</t>
  </si>
  <si>
    <t>ALCALDIA MUNICIPAL DE  SANTANDER DE QUILICHAO</t>
  </si>
  <si>
    <t>EQUIPOS DE COMUNICACION Y COMPUTACION</t>
  </si>
  <si>
    <t>Equipos de Comunicación</t>
  </si>
  <si>
    <t>Equipos de Computación</t>
  </si>
  <si>
    <t>líneas telefónicas</t>
  </si>
  <si>
    <t>Otros equipos comunicación y computación</t>
  </si>
  <si>
    <t>Ajuste por  inflacion</t>
  </si>
  <si>
    <t>EQUIP DE TRANS, TRACCION Y ELEVA.</t>
  </si>
  <si>
    <t>Terrestre</t>
  </si>
  <si>
    <t>EQ.COMEDOR COCINA DESPENSA Y HOTELERIA</t>
  </si>
  <si>
    <t>Maquinaria y Equipo de Restaurante y caf</t>
  </si>
  <si>
    <t>DEPRECIACION ACUMULADA CR</t>
  </si>
  <si>
    <t>Edificaciones</t>
  </si>
  <si>
    <t>Equipo Cientifico</t>
  </si>
  <si>
    <t>Muebles y Enseres y Equipo de Oficina</t>
  </si>
  <si>
    <t>Equipo de Transp. Tracc. y Elevación</t>
  </si>
  <si>
    <t>Equipo de comerdor cocina despensa y hoteleriá</t>
  </si>
  <si>
    <t>OTROS ACTIVOS</t>
  </si>
  <si>
    <t>GASTOS PAGADOS POR ANTICIPADO</t>
  </si>
  <si>
    <t>Seguros</t>
  </si>
  <si>
    <t>Impresos, publicaciones, suscipciones y afiliaciones</t>
  </si>
  <si>
    <t>Servicios</t>
  </si>
  <si>
    <t>Mantenimiento</t>
  </si>
  <si>
    <t>Otros Gastos Pagados por Anticipado</t>
  </si>
  <si>
    <t>CARGOS DIFERIDOS</t>
  </si>
  <si>
    <t>Materiales y Suministros</t>
  </si>
  <si>
    <t>Material Quirúrgico</t>
  </si>
  <si>
    <t>Dotación a Trabajadores</t>
  </si>
  <si>
    <t>Estudios y Proyectos</t>
  </si>
  <si>
    <t>Gastos de Desarrollo</t>
  </si>
  <si>
    <t>Elementos de Aseo, Cafetería y Lavandería</t>
  </si>
  <si>
    <t>Combustibles y Lubricantes</t>
  </si>
  <si>
    <t>Capacitación, Bienestar Social y Estímulos</t>
  </si>
  <si>
    <t>Otros Cargos Diferidos</t>
  </si>
  <si>
    <t>INVERSION SOCIAL DIFERIDA</t>
  </si>
  <si>
    <t>Educación arte y Cultura</t>
  </si>
  <si>
    <t>BIENES ENTREGADOS A TERCEROS</t>
  </si>
  <si>
    <t>Bienes Inmuebles Entregados en Administración</t>
  </si>
  <si>
    <t>Bienes Muebles en Comodato</t>
  </si>
  <si>
    <t>AMORTIZ.  ACUM, BS. ENTREG. TERC. (CR)</t>
  </si>
  <si>
    <t>Ajustes por inflación</t>
  </si>
  <si>
    <t>Equipo</t>
  </si>
  <si>
    <t>RESPONSABILIDADES</t>
  </si>
  <si>
    <t>Responsabilidades Fiscales</t>
  </si>
  <si>
    <t>Responsabilidades en Proceso Internas</t>
  </si>
  <si>
    <t>Responsabilidades en Procesos - Autoridad Competente</t>
  </si>
  <si>
    <t>PROV. PARA RESPONSABILIDADES  (CR)</t>
  </si>
  <si>
    <t>Responsabilidades en Proceso</t>
  </si>
  <si>
    <t>BIENES DE ARTE Y CULTURA</t>
  </si>
  <si>
    <t>Libros y publicaicones de inves y consul</t>
  </si>
  <si>
    <t>Ajustes por Inflación</t>
  </si>
  <si>
    <t>PROV. BIENES DE ARTE Y CULTURA</t>
  </si>
  <si>
    <t>INTANGIBLES</t>
  </si>
  <si>
    <t>Licencias</t>
  </si>
  <si>
    <t>Software</t>
  </si>
  <si>
    <t>AMORTIZACION ACUMULADA INTANGIBLES</t>
  </si>
  <si>
    <t>PRINCIPAL Y SUBALTERNA</t>
  </si>
  <si>
    <t>Fondos transferidos</t>
  </si>
  <si>
    <t>Servicios Transferidos</t>
  </si>
  <si>
    <t>Obligaciones Transferidas</t>
  </si>
  <si>
    <t>Fondos Recibidos</t>
  </si>
  <si>
    <t>Bienes Recibidos</t>
  </si>
  <si>
    <t>Servicios Recibidos</t>
  </si>
  <si>
    <t>Obligaciones Recibidas</t>
  </si>
  <si>
    <t>Derechos Transferidos</t>
  </si>
  <si>
    <t>Derechos Recibidos</t>
  </si>
  <si>
    <t>BIENES Y DERECHOS EN INVESTIGACION ADTIVA</t>
  </si>
  <si>
    <t>Bancos y Corporaciones</t>
  </si>
  <si>
    <t>Deudores</t>
  </si>
  <si>
    <t>Propiedades, Planta y Equipo</t>
  </si>
  <si>
    <t>Otros Bienes y Derechos en Investig. Adtiva</t>
  </si>
  <si>
    <t>PROV. PARA BIENES Y DERECHOS EN INVEST. ADTIVA</t>
  </si>
  <si>
    <t>VALORIZACIONES</t>
  </si>
  <si>
    <t>Inversion en entidades privadas</t>
  </si>
  <si>
    <t>Terrenos</t>
  </si>
  <si>
    <t>Bienes Muebles en Bodega</t>
  </si>
  <si>
    <t>Muebles, enseres y Equipo de Oficina</t>
  </si>
  <si>
    <t>Equipos de Comunicación y Computación</t>
  </si>
  <si>
    <t>Equipo de Transporte, Tracción y Elevación</t>
  </si>
  <si>
    <t>Equipos de Comedor, Cocina, Despensa y Hoteleria</t>
  </si>
  <si>
    <t>PASIVO</t>
  </si>
  <si>
    <t>OPERACIONES DE CREDITO PUBLICO</t>
  </si>
  <si>
    <t>PRESTAMOS GUBERNAMENTALES DE LARGO PLAZO</t>
  </si>
  <si>
    <t>Préstamos al Gobierno General Nacional</t>
  </si>
  <si>
    <t>CUENTAS POR PAGAR</t>
  </si>
  <si>
    <t>ADQUISICION DE BIENES Y SERVICIOS</t>
  </si>
  <si>
    <t>Bienes y servicios</t>
  </si>
  <si>
    <t>Proyectos de Inversión</t>
  </si>
  <si>
    <t>TRANSFERENCIAS</t>
  </si>
  <si>
    <t>Transferencias por convenios con el sec priv</t>
  </si>
  <si>
    <t>Corrientes al Gobierno General</t>
  </si>
  <si>
    <t>Transferencias Corrientes a las empresa no financieras</t>
  </si>
  <si>
    <t>Situado Fiscal</t>
  </si>
  <si>
    <t>Transferencias de Capital al gobierno central</t>
  </si>
  <si>
    <t>Transferencias giradas al Exterior</t>
  </si>
  <si>
    <t>Sistema general de participación</t>
  </si>
  <si>
    <t>ACREEDORES</t>
  </si>
  <si>
    <t>Comisiones honorarios y servicios</t>
  </si>
  <si>
    <t>Servicios públicos</t>
  </si>
  <si>
    <t>Viáticos y Gastos de Viaje</t>
  </si>
  <si>
    <t>Saldos a favor de beneficiarios</t>
  </si>
  <si>
    <t>Aportes a fondos pensionales</t>
  </si>
  <si>
    <t>Aportes a seguridad social</t>
  </si>
  <si>
    <t>Aportes al ICBF SENA CAJAS DE COMP.</t>
  </si>
  <si>
    <t>Sindicatos</t>
  </si>
  <si>
    <t>Cooperativas</t>
  </si>
  <si>
    <t>Fondos de Empleados</t>
  </si>
  <si>
    <t>Embargos Judiciales</t>
  </si>
  <si>
    <t>Cheques no cobrados o por reclamar</t>
  </si>
  <si>
    <t>Riesgos profesionales</t>
  </si>
  <si>
    <t>Fondos de Solidaridad y Garantia en salud</t>
  </si>
  <si>
    <t>Libranzas</t>
  </si>
  <si>
    <t>Aportes a esc inds ints tecnicos y Esap</t>
  </si>
  <si>
    <t>Contratos de medicina prepagada</t>
  </si>
  <si>
    <t>Otros Acreedores</t>
  </si>
  <si>
    <t>SUBSIDIOS ASIGNADOS</t>
  </si>
  <si>
    <t>Educación</t>
  </si>
  <si>
    <t>RETENCION EN LA FUENTE E IMTPS DE TIMBRE</t>
  </si>
  <si>
    <t>Salarios y pagos laborales</t>
  </si>
  <si>
    <t>Sentencias y Conciliaciones</t>
  </si>
  <si>
    <t>Honorarios</t>
  </si>
  <si>
    <t>Comisiones</t>
  </si>
  <si>
    <t>Rendimiento financieros</t>
  </si>
  <si>
    <t>Compras</t>
  </si>
  <si>
    <t>Pagos al Exterior</t>
  </si>
  <si>
    <t>Impto a las Ventas Retenido por Consignar</t>
  </si>
  <si>
    <t>Impuesto de Timbre</t>
  </si>
  <si>
    <t>RETENCION DE IMPUESTO INDU CIO POR PAG ICA</t>
  </si>
  <si>
    <t>Retención por compras</t>
  </si>
  <si>
    <t>IMPUESTOS CONTRIBUCIONES Y TASAS ´POR P.</t>
  </si>
  <si>
    <t>Predial Unificado</t>
  </si>
  <si>
    <t>Valorización</t>
  </si>
  <si>
    <t>Contribuciones</t>
  </si>
  <si>
    <t>Impuestos sobre vehiculos automotores</t>
  </si>
  <si>
    <t>Otros Impuestos</t>
  </si>
  <si>
    <t>DEPOSITOS RECIBIDOS DE TERCEROS</t>
  </si>
  <si>
    <t>Judiciales</t>
  </si>
  <si>
    <t>En Administración</t>
  </si>
  <si>
    <t>CREDITOS JUDICIALES</t>
  </si>
  <si>
    <t>OBLIGACIONES LABORALES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</si>
  <si>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</si>
  <si>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</si>
  <si>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</si>
  <si>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</si>
  <si>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</si>
  <si>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</si>
  <si>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Prima de Navidad</t>
  </si>
  <si>
    <t>Bonificaciones</t>
  </si>
  <si>
    <t>PASIVOS ESTIMADOS</t>
  </si>
  <si>
    <t>PROVISION PARA CONTINGENCIAS</t>
  </si>
  <si>
    <t>Litigios o demandas</t>
  </si>
  <si>
    <t>PROVISIÓN PARA PRESTACIONES SOCIALES</t>
  </si>
  <si>
    <t>Primas Extralegales</t>
  </si>
  <si>
    <t>OTROS PASIVOS</t>
  </si>
  <si>
    <t>RECAUDOS A FAVOR DE TERCEROS</t>
  </si>
  <si>
    <t>Impuestos</t>
  </si>
  <si>
    <t>Ventas por Cuentas de Terceros</t>
  </si>
  <si>
    <t>Otros Recaudos a Favor de Terceros</t>
  </si>
  <si>
    <t>INGRESOS RECIBIDOS POR ANTICIPADO</t>
  </si>
  <si>
    <t>Ventas</t>
  </si>
  <si>
    <t>Otros Ingresos recibidos por anticipado</t>
  </si>
  <si>
    <t>OBLIGACIONES EN INVESTIGACION ADTIVA</t>
  </si>
  <si>
    <t>Cuentas por Pagar</t>
  </si>
  <si>
    <t>PATRIMONIO</t>
  </si>
  <si>
    <t>HACIENDA PUBLICA</t>
  </si>
  <si>
    <t>CAPITAL FISCAL</t>
  </si>
  <si>
    <t>De la Nación</t>
  </si>
  <si>
    <t>RESULTADO DEL EJERCICIO</t>
  </si>
  <si>
    <t>Excedente del Ejercicio</t>
  </si>
  <si>
    <t>Déficit del Ejercicio</t>
  </si>
  <si>
    <t>Principal y Subalterna</t>
  </si>
  <si>
    <t>SUPERAVIT POR VALORIZACION</t>
  </si>
  <si>
    <t>Propiedad planta y equipo</t>
  </si>
  <si>
    <t>Inversiones en entidades privadas</t>
  </si>
  <si>
    <t>Equipo de Transporte Tracción y elevación</t>
  </si>
  <si>
    <t xml:space="preserve">SUPERAVIT POR METODO DE PARTIC </t>
  </si>
  <si>
    <t>ALCALDIA MUNICIPAL DE  VILLAGARZON</t>
  </si>
  <si>
    <t>217125871</t>
  </si>
  <si>
    <t>ALCALDIA MUNICIPAL DE  VILLAGOMEZ</t>
  </si>
  <si>
    <t>ALCALDIA MUNICIPAL DE  VILLAHERMOSA</t>
  </si>
  <si>
    <t>ALCALDIA MUNICIPAL DE  VILLAMARIA</t>
  </si>
  <si>
    <t>ALCALDIA MUNICIPAL DE  VILLANUEVA</t>
  </si>
  <si>
    <t>217268872</t>
  </si>
  <si>
    <t>ALCALDIA MUNICIPAL DE  VILLANUEVA (BOLIVAR)</t>
  </si>
  <si>
    <t>217325873</t>
  </si>
  <si>
    <t>ALCALDIA MUNICIPAL DE  VILLAPINZON</t>
  </si>
  <si>
    <t>ALCALDIA MUNICIPAL DE  VILLARRICA (TOLIMA)</t>
  </si>
  <si>
    <t>ALCALDIA MUNICIPAL DE  VILLAVICENCIO</t>
  </si>
  <si>
    <t>217241872</t>
  </si>
  <si>
    <t>ALCALDIA MUNICIPAL DE  VILLAVIEJA</t>
  </si>
  <si>
    <t>217525875</t>
  </si>
  <si>
    <t>ALCALDIA MUNICIPAL DE  VILLETA</t>
  </si>
  <si>
    <t>217825878</t>
  </si>
  <si>
    <t>ALCALDIA MUNICIPAL DE  VIOTA</t>
  </si>
  <si>
    <t>ALCALDIA MUNICIPAL DE  VIRACACHA</t>
  </si>
  <si>
    <t>ALCALDIA MUNICIPAL DE  VISTAHERMOSA</t>
  </si>
  <si>
    <t>ALCALDIA MUNICIPAL DE  VITERBO</t>
  </si>
  <si>
    <t>218525885</t>
  </si>
  <si>
    <t>ALCALDIA MUNICIPAL DE  YACOPI</t>
  </si>
  <si>
    <t>ALCALDIA MUNICIPAL DE  YACUANQUER</t>
  </si>
  <si>
    <t>218541885</t>
  </si>
  <si>
    <t>ALCALDIA MUNICIPAL DE  YAGUARA</t>
  </si>
  <si>
    <t>218505885</t>
  </si>
  <si>
    <t>ALCALDIA MUNICIPAL DE  YALI</t>
  </si>
  <si>
    <t>219005890</t>
  </si>
  <si>
    <t>ALCALDIA MUNICIPAL DE  YOLOMBO</t>
  </si>
  <si>
    <t>ALCALDIA MUNICIPAL DE  YOPAL</t>
  </si>
  <si>
    <t>ALCALDIA MUNICIPAL DE  YOTOCO</t>
  </si>
  <si>
    <t>ALCALDIA MUNICIPAL DE  YUMBO</t>
  </si>
  <si>
    <t>219413894</t>
  </si>
  <si>
    <t>ALCALDIA MUNICIPAL DE  ZAMBRANO</t>
  </si>
  <si>
    <t>ALCALDIA MUNICIPAL DE  ZARZAL</t>
  </si>
  <si>
    <t>ALCALDIA MUNICIPAL DE  ZETAQUIRA</t>
  </si>
  <si>
    <t>219925899</t>
  </si>
  <si>
    <t>ALCALDIA MUNICIPAL DE  ZIPAQUIRA</t>
  </si>
  <si>
    <t>ALCALDIA MUNICIPAL DE  ZONA BANANERA</t>
  </si>
  <si>
    <t>210615106</t>
  </si>
  <si>
    <t>ALCALDIA MUNICIPAL DE  BRICEÑO (ANTIOQUIA)</t>
  </si>
  <si>
    <t>215050150</t>
  </si>
  <si>
    <t>ALCALDIA MUNICIPAL DE  CASTILLA LA NUEVA</t>
  </si>
  <si>
    <t>210105101</t>
  </si>
  <si>
    <t>ALCALDIA MUNICIPAL DE  CIUDAD BOLIVAR</t>
  </si>
  <si>
    <t>213568235</t>
  </si>
  <si>
    <t>ALCALDIA MUNICIPAL DE  EL CARMEN DE CHUCURI</t>
  </si>
  <si>
    <t>214805148</t>
  </si>
  <si>
    <t>ALCALDIA MUNICIPAL DE  EL CARMEN DE VIBORAL</t>
  </si>
  <si>
    <t>215027250</t>
  </si>
  <si>
    <t>ALCALDIA MUNICIPAL DE  EL LITORAL DEL SAN JUAN</t>
  </si>
  <si>
    <t>211018410</t>
  </si>
  <si>
    <t>ALCALDIA MUNICIPAL DE  LA MONTAÑITA</t>
  </si>
  <si>
    <t>ALCALDIA MUNICIPAL DE  SAN JOSE DE LA MONTAÑA</t>
  </si>
  <si>
    <t>215713657</t>
  </si>
  <si>
    <t>ALCALDIA MUNICIPAL DE  SAN JUAN NEPOMUCENO</t>
  </si>
  <si>
    <t>ANTICIPOS SOBRE CONVENIOS Y ACUERDOS</t>
  </si>
  <si>
    <t xml:space="preserve">UNIVERSIDAD DE ANTIOQUIA </t>
  </si>
  <si>
    <t>024666000</t>
  </si>
  <si>
    <t>UNIVERSIDAD DE PEREIRA</t>
  </si>
  <si>
    <t>028327000</t>
  </si>
  <si>
    <t xml:space="preserve">UNIVERSIDAD DEL CHOCO </t>
  </si>
  <si>
    <t>027219000</t>
  </si>
  <si>
    <t xml:space="preserve">UNIVERSIDAD DEL CAUCA </t>
  </si>
  <si>
    <t>UNIVERSIDAD DE PAMPLONA</t>
  </si>
  <si>
    <t>UNIVERSIDAD TECNOL DEL MAGDALENA</t>
  </si>
  <si>
    <t>UNIVERSIDAD FCO DE PAULA SANT CUCUTA</t>
  </si>
  <si>
    <t>UNIVERSIDAD DE SUCRE</t>
  </si>
  <si>
    <t>027400000</t>
  </si>
  <si>
    <t>UNIVERSIDAD NACIONAL</t>
  </si>
  <si>
    <t>124552000</t>
  </si>
  <si>
    <t>UNIVERSIDAD DE NARIÑO</t>
  </si>
  <si>
    <t>UNIVERSIDAD DISTRITAL</t>
  </si>
  <si>
    <t xml:space="preserve">UNIVERSIDAD DEL VALLE </t>
  </si>
  <si>
    <t>UNAD</t>
  </si>
  <si>
    <t>ICETEX</t>
  </si>
  <si>
    <t>PRESTAMOS AL GOBIERNO GENERAL NACIONAL</t>
  </si>
  <si>
    <t>DTN</t>
  </si>
  <si>
    <t>TRANSFERENCIAS CORRIENTES AL GOBIERNO GENERAL</t>
  </si>
  <si>
    <t>044600000</t>
  </si>
  <si>
    <t>FIDUPREVISORA</t>
  </si>
  <si>
    <t>SISTEMA GENERAL DE PARTICIPACIONES</t>
  </si>
  <si>
    <t>ANTIOQUIA</t>
  </si>
  <si>
    <t>ATLANTICO</t>
  </si>
  <si>
    <t>BOLIVAR</t>
  </si>
  <si>
    <t>BOYACA</t>
  </si>
  <si>
    <t>CALDAS</t>
  </si>
  <si>
    <t>CAQUETA</t>
  </si>
  <si>
    <t>CAUCA</t>
  </si>
  <si>
    <t>CESAR</t>
  </si>
  <si>
    <t>CHOCO</t>
  </si>
  <si>
    <t>CORDOBA</t>
  </si>
  <si>
    <t>CUNDINAMARCA</t>
  </si>
  <si>
    <t>HUILA</t>
  </si>
  <si>
    <t>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</si>
  <si>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</si>
  <si>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</si>
  <si>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</si>
  <si>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</si>
  <si>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</si>
  <si>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</si>
  <si>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</si>
  <si>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</si>
  <si>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</si>
  <si>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</si>
  <si>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</si>
  <si>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</si>
  <si>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</si>
  <si>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SAN ANDRES</t>
  </si>
  <si>
    <t>AMAZONAS</t>
  </si>
  <si>
    <t>VAUPES</t>
  </si>
  <si>
    <t>VICHADA</t>
  </si>
  <si>
    <t>GUAINIA</t>
  </si>
  <si>
    <t>GUAVIARE</t>
  </si>
  <si>
    <t>BOGOTA</t>
  </si>
  <si>
    <t>BARRANQUILLA</t>
  </si>
  <si>
    <t>CARTAGENA</t>
  </si>
  <si>
    <t>SANTA MARTA</t>
  </si>
  <si>
    <t>MEDELLIN</t>
  </si>
  <si>
    <t>BELLO</t>
  </si>
  <si>
    <t>ENVIGADO</t>
  </si>
  <si>
    <t>ITAGUI</t>
  </si>
  <si>
    <t>TURBO</t>
  </si>
  <si>
    <t>SOLEDAD</t>
  </si>
  <si>
    <t>MAGANGUE</t>
  </si>
  <si>
    <t>TUNJA</t>
  </si>
  <si>
    <t>DUITAMA</t>
  </si>
  <si>
    <t>SOGAMOSO</t>
  </si>
  <si>
    <t>MANIZALES</t>
  </si>
  <si>
    <t>210118001</t>
  </si>
  <si>
    <t>FLORENCIA</t>
  </si>
  <si>
    <t>POPAYAN</t>
  </si>
  <si>
    <t>VALLEDUPAR</t>
  </si>
  <si>
    <t>MONTERIA</t>
  </si>
  <si>
    <t>LORICA</t>
  </si>
  <si>
    <t>SAHAGUN</t>
  </si>
  <si>
    <t>FUSAGASUGA</t>
  </si>
  <si>
    <t>GIRARDOT</t>
  </si>
  <si>
    <t>SOACHA</t>
  </si>
  <si>
    <t>NEIVA</t>
  </si>
  <si>
    <t>213044430</t>
  </si>
  <si>
    <t>MAICAO</t>
  </si>
  <si>
    <t>218947189</t>
  </si>
  <si>
    <t>CIENAGA</t>
  </si>
  <si>
    <t>VILLAVICENCIO</t>
  </si>
  <si>
    <t>PASTO</t>
  </si>
  <si>
    <t>TUMACO</t>
  </si>
  <si>
    <t>CUCUTA</t>
  </si>
  <si>
    <t>ARMENIA</t>
  </si>
  <si>
    <t>PEREIRA</t>
  </si>
  <si>
    <t>DOSQUEBRADAS</t>
  </si>
  <si>
    <t>BUCARAMANGA</t>
  </si>
  <si>
    <t>BARRANCABERMEJA</t>
  </si>
  <si>
    <t>FLORIDABLANCA</t>
  </si>
  <si>
    <t>GIRON</t>
  </si>
  <si>
    <t>SINCELEJO</t>
  </si>
  <si>
    <t>IBAGUE</t>
  </si>
  <si>
    <t>CALI</t>
  </si>
  <si>
    <t>BUENAVENTURA</t>
  </si>
  <si>
    <t>BUGA</t>
  </si>
  <si>
    <t>CARTAGO</t>
  </si>
  <si>
    <t>PALMIRA</t>
  </si>
  <si>
    <t>TULUA</t>
  </si>
  <si>
    <t>210205002</t>
  </si>
  <si>
    <t>ABEJORRAL</t>
  </si>
  <si>
    <t>210405004</t>
  </si>
  <si>
    <t>ABRIAQUI</t>
  </si>
  <si>
    <t>ALEJANDRIA</t>
  </si>
  <si>
    <t>AMAGA</t>
  </si>
  <si>
    <t>AMALFI</t>
  </si>
  <si>
    <t>213405034</t>
  </si>
  <si>
    <t>ANDES</t>
  </si>
  <si>
    <t>213605036</t>
  </si>
  <si>
    <t>ANGELOPOLIS</t>
  </si>
  <si>
    <t>ANGOSTURA</t>
  </si>
  <si>
    <t>ANORI</t>
  </si>
  <si>
    <t>214205042</t>
  </si>
  <si>
    <t>214405044</t>
  </si>
  <si>
    <t>ANZA</t>
  </si>
  <si>
    <t>214505045</t>
  </si>
  <si>
    <t>APARTADO</t>
  </si>
  <si>
    <t>ARBOLETES</t>
  </si>
  <si>
    <t>ARGELIA</t>
  </si>
  <si>
    <t>217905079</t>
  </si>
  <si>
    <t>BARBOSA</t>
  </si>
  <si>
    <t>BELMIRA</t>
  </si>
  <si>
    <t>219105091</t>
  </si>
  <si>
    <t>BETANIA</t>
  </si>
  <si>
    <t>219305093</t>
  </si>
  <si>
    <t>BETULIA</t>
  </si>
  <si>
    <t>BRICENO</t>
  </si>
  <si>
    <t>211305113</t>
  </si>
  <si>
    <t>BURITICA</t>
  </si>
  <si>
    <t>CACERES</t>
  </si>
  <si>
    <t>CAICEDO</t>
  </si>
  <si>
    <t>CAMPAMENTO</t>
  </si>
  <si>
    <t>213805138</t>
  </si>
  <si>
    <t>CAÑASGORDAS</t>
  </si>
  <si>
    <t>214205142</t>
  </si>
  <si>
    <t>CARACOLI</t>
  </si>
  <si>
    <t>CARAMANTA</t>
  </si>
  <si>
    <t>214705147</t>
  </si>
  <si>
    <t>CAREPA</t>
  </si>
  <si>
    <t>CARMEN DE VIBORAL</t>
  </si>
  <si>
    <t>CAROLINA</t>
  </si>
  <si>
    <t>CAUCASIA</t>
  </si>
  <si>
    <t>217205172</t>
  </si>
  <si>
    <t>CHIGORODO</t>
  </si>
  <si>
    <t>219005190</t>
  </si>
  <si>
    <t>CISNEROS</t>
  </si>
  <si>
    <t>COCORNA</t>
  </si>
  <si>
    <t>210605206</t>
  </si>
  <si>
    <t>CONCEPCION</t>
  </si>
  <si>
    <t>210905209</t>
  </si>
  <si>
    <t>CONCORDIA</t>
  </si>
  <si>
    <t>COPACABANA</t>
  </si>
  <si>
    <t>213405234</t>
  </si>
  <si>
    <t>DABEIBA</t>
  </si>
  <si>
    <t>DON MATIAS</t>
  </si>
  <si>
    <t>EBEJICO</t>
  </si>
  <si>
    <t>215005250</t>
  </si>
  <si>
    <t>EL BAGRE</t>
  </si>
  <si>
    <t>ENTRERRIOS</t>
  </si>
  <si>
    <t>FREDONIA</t>
  </si>
  <si>
    <t>FRONTINO</t>
  </si>
  <si>
    <t>GIRALDO</t>
  </si>
  <si>
    <t>GIRARDOTA</t>
  </si>
  <si>
    <t>GOMEZ PLATA</t>
  </si>
  <si>
    <t>211305313</t>
  </si>
  <si>
    <t>GRANADA</t>
  </si>
  <si>
    <t>GUADALUPE</t>
  </si>
  <si>
    <t>GUARNE</t>
  </si>
  <si>
    <t>GUATAPE</t>
  </si>
  <si>
    <t>214705347</t>
  </si>
  <si>
    <t>HELICONIA</t>
  </si>
  <si>
    <t>215305353</t>
  </si>
  <si>
    <t>HISPANIA</t>
  </si>
  <si>
    <t>216105361</t>
  </si>
  <si>
    <t>ITUANGO</t>
  </si>
  <si>
    <t>JARDIN</t>
  </si>
  <si>
    <t>216805368</t>
  </si>
  <si>
    <t>JERICO</t>
  </si>
  <si>
    <t>LA CEJA</t>
  </si>
  <si>
    <t>LA ESTRELLA</t>
  </si>
  <si>
    <t>LA PINTADA</t>
  </si>
  <si>
    <t>LA UNION</t>
  </si>
  <si>
    <t>211105411</t>
  </si>
  <si>
    <t>LIBORINA</t>
  </si>
  <si>
    <t>MACEO</t>
  </si>
  <si>
    <t>MARINILLA</t>
  </si>
  <si>
    <t>MONTEBELLO</t>
  </si>
  <si>
    <t>217505475</t>
  </si>
  <si>
    <t>MURINDO</t>
  </si>
  <si>
    <t>MUTATA</t>
  </si>
  <si>
    <t>NARINO</t>
  </si>
  <si>
    <t>219005490</t>
  </si>
  <si>
    <t>NECOCLI</t>
  </si>
  <si>
    <t>219505495</t>
  </si>
  <si>
    <t>NECHI</t>
  </si>
  <si>
    <t>210105501</t>
  </si>
  <si>
    <t>OLAYA</t>
  </si>
  <si>
    <t>214105541</t>
  </si>
  <si>
    <t>PENOL</t>
  </si>
  <si>
    <t>214305543</t>
  </si>
  <si>
    <t>PEQUE</t>
  </si>
  <si>
    <t>217605576</t>
  </si>
  <si>
    <t>PUEBLORRICO</t>
  </si>
  <si>
    <t>PUERTO BERRIO</t>
  </si>
  <si>
    <t>PUERTO NARE</t>
  </si>
  <si>
    <t>219105591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</si>
  <si>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</si>
  <si>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</si>
  <si>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</si>
  <si>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</si>
  <si>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</si>
  <si>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</si>
  <si>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</si>
  <si>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</si>
  <si>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215205652</t>
  </si>
  <si>
    <t>SAN FRANCISCO</t>
  </si>
  <si>
    <t>215605656</t>
  </si>
  <si>
    <t>SAN JERONIMO</t>
  </si>
  <si>
    <t>215805658</t>
  </si>
  <si>
    <t>SN JOSE D LA MONTANA</t>
  </si>
  <si>
    <t>215905659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</si>
  <si>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</si>
  <si>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</si>
  <si>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</si>
  <si>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</si>
  <si>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</si>
  <si>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</si>
  <si>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</si>
  <si>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217905679</t>
  </si>
  <si>
    <t>SANTA BARBARA</t>
  </si>
  <si>
    <t>SANTA ROSA DE OSOS</t>
  </si>
  <si>
    <t>SANTO DOMINGO</t>
  </si>
  <si>
    <t>EL SANTUARIO</t>
  </si>
  <si>
    <t>213605736</t>
  </si>
  <si>
    <t>SEGOVIA</t>
  </si>
  <si>
    <t>SONSON</t>
  </si>
  <si>
    <t>216105761</t>
  </si>
  <si>
    <t>SOPETRAN</t>
  </si>
  <si>
    <t>218905789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</si>
  <si>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</si>
  <si>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</si>
  <si>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</si>
  <si>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</si>
  <si>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</si>
  <si>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</si>
  <si>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</si>
  <si>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</si>
  <si>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</si>
  <si>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215805858</t>
  </si>
  <si>
    <t>VEGACHI</t>
  </si>
  <si>
    <t>VENECIA</t>
  </si>
  <si>
    <t>VIGIA DEL FUERTE</t>
  </si>
  <si>
    <t>YALI</t>
  </si>
  <si>
    <t>218705887</t>
  </si>
  <si>
    <t>YARUMAL</t>
  </si>
  <si>
    <t>YOLOMBO</t>
  </si>
  <si>
    <t>219305893</t>
  </si>
  <si>
    <t>YONDO</t>
  </si>
  <si>
    <t>219505895</t>
  </si>
  <si>
    <t>ZARAGOZA</t>
  </si>
  <si>
    <t>217808078</t>
  </si>
  <si>
    <t>BARANOA</t>
  </si>
  <si>
    <t>CAMPO DE LA CRUZ</t>
  </si>
  <si>
    <t>214108141</t>
  </si>
  <si>
    <t>CANDELARIA</t>
  </si>
  <si>
    <t>219608296</t>
  </si>
  <si>
    <t>GALAPA</t>
  </si>
  <si>
    <t>JUAN DE ACOSTA</t>
  </si>
  <si>
    <t>212108421</t>
  </si>
  <si>
    <t>LURUACO</t>
  </si>
  <si>
    <t>213308433</t>
  </si>
  <si>
    <t>MALAMBO</t>
  </si>
  <si>
    <t>213608436</t>
  </si>
  <si>
    <t>MANATI</t>
  </si>
  <si>
    <t>212008520</t>
  </si>
  <si>
    <t>PALMAR D VARELA</t>
  </si>
  <si>
    <t>214908549</t>
  </si>
  <si>
    <t>PIOJO</t>
  </si>
  <si>
    <t>POLONUEVO</t>
  </si>
  <si>
    <t>216008560</t>
  </si>
  <si>
    <t>PONEDERA</t>
  </si>
  <si>
    <t>217308573</t>
  </si>
  <si>
    <t>PUERTO COLOMBIA</t>
  </si>
  <si>
    <t>REPELON</t>
  </si>
  <si>
    <t>SABANAGRANDE</t>
  </si>
  <si>
    <t>213808638</t>
  </si>
  <si>
    <t>217508675</t>
  </si>
  <si>
    <t>SANTA LUCIA</t>
  </si>
  <si>
    <t>218508685</t>
  </si>
  <si>
    <t>SANTO TOMAS</t>
  </si>
  <si>
    <t>SUAN</t>
  </si>
  <si>
    <t>213208832</t>
  </si>
  <si>
    <t>TUBARA</t>
  </si>
  <si>
    <t>USIACURI</t>
  </si>
  <si>
    <t>210613006</t>
  </si>
  <si>
    <t>ACHI</t>
  </si>
  <si>
    <t>ALTOS DEL ROSARIO</t>
  </si>
  <si>
    <t>214213042</t>
  </si>
  <si>
    <t>ARENAL</t>
  </si>
  <si>
    <t>215213052</t>
  </si>
  <si>
    <t>ARJONA</t>
  </si>
  <si>
    <t>216213062</t>
  </si>
  <si>
    <t>ARROYO HONDO</t>
  </si>
  <si>
    <t>BARRANCO DE LOBA</t>
  </si>
  <si>
    <t>CALAMAR</t>
  </si>
  <si>
    <t>CANTAGALLO</t>
  </si>
  <si>
    <t>218813188</t>
  </si>
  <si>
    <t>CICUCO</t>
  </si>
  <si>
    <t>211213212</t>
  </si>
  <si>
    <t>212213222</t>
  </si>
  <si>
    <t>CLEMENCIA</t>
  </si>
  <si>
    <t>EL CARMEN DE BOLIVAR</t>
  </si>
  <si>
    <t>EL GUAMO</t>
  </si>
  <si>
    <t>216813268</t>
  </si>
  <si>
    <t>EL PEÑON</t>
  </si>
  <si>
    <t>HATILLO DE LOBA</t>
  </si>
  <si>
    <t>MAHATES</t>
  </si>
  <si>
    <t>214013440</t>
  </si>
  <si>
    <t>MARGARITA</t>
  </si>
  <si>
    <t>MARIA LA BAJA</t>
  </si>
  <si>
    <t>MONTECRISTO</t>
  </si>
  <si>
    <t>MOMPOS</t>
  </si>
  <si>
    <t>217313473</t>
  </si>
  <si>
    <t>MORALES</t>
  </si>
  <si>
    <t>214913549</t>
  </si>
  <si>
    <t>PINILLOS</t>
  </si>
  <si>
    <t>218013580</t>
  </si>
  <si>
    <t>REGIDOR</t>
  </si>
  <si>
    <t>RIO VIEJO</t>
  </si>
  <si>
    <t>212013620</t>
  </si>
  <si>
    <t>SAN CRISTOBAL</t>
  </si>
  <si>
    <t>SAN ESTANISLAO</t>
  </si>
  <si>
    <t>215013650</t>
  </si>
  <si>
    <t>SAN FERNANDO</t>
  </si>
  <si>
    <t>SAN JACINTO</t>
  </si>
  <si>
    <t>SAN JACINTO DEL CAUCA</t>
  </si>
  <si>
    <t>S.JUAN NEPOMUCENO</t>
  </si>
  <si>
    <t>S.MARTIN DE LOBA</t>
  </si>
  <si>
    <t>217013670</t>
  </si>
  <si>
    <t>SAN PABLO</t>
  </si>
  <si>
    <t>217313673</t>
  </si>
  <si>
    <t>SANTA CATALINA</t>
  </si>
  <si>
    <t>SANTA ROSA</t>
  </si>
  <si>
    <t>SANTA ROSA SUR</t>
  </si>
  <si>
    <t>SIMITI</t>
  </si>
  <si>
    <t>SOPLAVIENTO</t>
  </si>
  <si>
    <t>TALAIGUA NUEVO</t>
  </si>
  <si>
    <t>211013810</t>
  </si>
  <si>
    <t>TIQUISIO</t>
  </si>
  <si>
    <t>213613836</t>
  </si>
  <si>
    <t>TURBACO</t>
  </si>
  <si>
    <t>213813838</t>
  </si>
  <si>
    <t>TURBANA</t>
  </si>
  <si>
    <t>217313873</t>
  </si>
  <si>
    <t>VILLANUEVA</t>
  </si>
  <si>
    <t>ZAMBRANO</t>
  </si>
  <si>
    <t>ALMEIDA</t>
  </si>
  <si>
    <t>AQUITANIA</t>
  </si>
  <si>
    <t>ARCABUCO</t>
  </si>
  <si>
    <t>218715087</t>
  </si>
  <si>
    <t>BELEN</t>
  </si>
  <si>
    <t>BERBEO</t>
  </si>
  <si>
    <t>BETEITIVA</t>
  </si>
  <si>
    <t>BOAVITA</t>
  </si>
  <si>
    <t>210415104</t>
  </si>
  <si>
    <t>BRICEÑO</t>
  </si>
  <si>
    <t>210915109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</si>
  <si>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</si>
  <si>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</si>
  <si>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</si>
  <si>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</si>
  <si>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</si>
  <si>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</si>
  <si>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</si>
  <si>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</si>
  <si>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</si>
  <si>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</si>
  <si>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</si>
  <si>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</si>
  <si>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</si>
  <si>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</si>
  <si>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</si>
  <si>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</si>
  <si>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</si>
  <si>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</si>
  <si>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</si>
  <si>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</si>
  <si>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</si>
  <si>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</si>
  <si>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217615276</t>
  </si>
  <si>
    <t>FLORESTA</t>
  </si>
  <si>
    <t>GACHANTIVA</t>
  </si>
  <si>
    <t>GAMEZA</t>
  </si>
  <si>
    <t>GARAGOA</t>
  </si>
  <si>
    <t>211715317</t>
  </si>
  <si>
    <t>GUACAMAYAS</t>
  </si>
  <si>
    <t>GUATEQUE</t>
  </si>
  <si>
    <t>GUAYATA</t>
  </si>
  <si>
    <t>GUICAN</t>
  </si>
  <si>
    <t>216215362</t>
  </si>
  <si>
    <t>IZA</t>
  </si>
  <si>
    <t>JENESANO</t>
  </si>
  <si>
    <t>LABRANZAGRANDE</t>
  </si>
  <si>
    <t>218015380</t>
  </si>
  <si>
    <t>LA CAPILLA</t>
  </si>
  <si>
    <t>LA VICTORIA</t>
  </si>
  <si>
    <t>LA UVITA</t>
  </si>
  <si>
    <t>VILLA DE LEYVA</t>
  </si>
  <si>
    <t>MACANAL</t>
  </si>
  <si>
    <t>214215442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</si>
  <si>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</si>
  <si>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</si>
  <si>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</si>
  <si>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</si>
  <si>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</si>
  <si>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</si>
  <si>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</si>
  <si>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</si>
  <si>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</si>
  <si>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</si>
  <si>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</si>
  <si>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</si>
  <si>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</si>
  <si>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</si>
  <si>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</si>
  <si>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</si>
  <si>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</si>
  <si>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</si>
  <si>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</si>
  <si>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</si>
  <si>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</si>
  <si>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</si>
  <si>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</si>
  <si>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</si>
  <si>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</si>
  <si>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</si>
  <si>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</si>
  <si>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</si>
  <si>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</si>
  <si>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</si>
  <si>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</si>
  <si>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216715667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</si>
  <si>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</si>
  <si>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</si>
  <si>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</si>
  <si>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</si>
  <si>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</si>
  <si>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</si>
  <si>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</si>
  <si>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</si>
  <si>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</si>
  <si>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</si>
  <si>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</si>
  <si>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</si>
  <si>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</si>
  <si>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</si>
  <si>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</si>
  <si>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</si>
  <si>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</si>
  <si>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</si>
  <si>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</si>
  <si>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</si>
  <si>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</si>
  <si>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</si>
  <si>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</si>
  <si>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</si>
  <si>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</si>
  <si>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</si>
  <si>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</si>
  <si>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</si>
  <si>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</si>
  <si>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</si>
  <si>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</si>
  <si>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</si>
  <si>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</si>
  <si>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</si>
  <si>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</si>
  <si>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</si>
  <si>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</si>
  <si>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</si>
  <si>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</si>
  <si>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211317013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</si>
  <si>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</si>
  <si>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</si>
  <si>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</si>
  <si>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</si>
  <si>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</si>
  <si>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</si>
  <si>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</si>
  <si>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</si>
  <si>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</si>
  <si>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</si>
  <si>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</si>
  <si>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</si>
  <si>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</si>
  <si>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</si>
  <si>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</si>
  <si>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</si>
  <si>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</si>
  <si>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</si>
  <si>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</si>
  <si>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</si>
  <si>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</si>
  <si>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</si>
  <si>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</si>
  <si>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</si>
  <si>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</si>
  <si>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</si>
  <si>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</si>
  <si>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En Entidades Desentralizadas del Gobierno General</t>
  </si>
  <si>
    <t>En otras entidades del nivel territorial</t>
  </si>
  <si>
    <t>SUPERAVIT POR DONACION</t>
  </si>
  <si>
    <t>En Dinero</t>
  </si>
  <si>
    <t>En Especie</t>
  </si>
  <si>
    <t>PATRIMONIO PUBLICO INCORPORADO</t>
  </si>
  <si>
    <t>Inventarios</t>
  </si>
  <si>
    <t>Otros Activos</t>
  </si>
  <si>
    <t>REVALORIZACION HACIENDA PUBLICA</t>
  </si>
  <si>
    <t>Capital Fiscal</t>
  </si>
  <si>
    <t>Superavit por Donación</t>
  </si>
  <si>
    <t>EFECTO DEL SANEAMIENTO CONTABLE</t>
  </si>
  <si>
    <t>Efectivo</t>
  </si>
  <si>
    <t>INGRESOS</t>
  </si>
  <si>
    <t>INGRESOS FISCALES</t>
  </si>
  <si>
    <t>NO TRIBUTARIOS</t>
  </si>
  <si>
    <t>Pliegos de licitaciones</t>
  </si>
  <si>
    <t>Concesión Sociedades Portuarias</t>
  </si>
  <si>
    <t>Publicaciones</t>
  </si>
  <si>
    <t>Otros Ingresos no tributarios</t>
  </si>
  <si>
    <t>INGRESOS POR FONDOS ESPECIALES</t>
  </si>
  <si>
    <t>Escuelas Industriales e Inst. Técnicos Ley 21/82</t>
  </si>
  <si>
    <t>Fondo Recursos Monitoreo y Vigilancia Educación Superior</t>
  </si>
  <si>
    <t>Otros Fondos Especiales</t>
  </si>
  <si>
    <t>DEVOLUCIONES Y DESCUENTOS</t>
  </si>
  <si>
    <t>Ingresos no tributarios</t>
  </si>
  <si>
    <t>Ingresos por Fondos Especiales</t>
  </si>
  <si>
    <t>VENTA DE SERVICIOS</t>
  </si>
  <si>
    <t>SERVICIOS EDUCATIVOS</t>
  </si>
  <si>
    <t>Educación Formal Superior Técnica Profesional</t>
  </si>
  <si>
    <t>Educación Formal Superior Postgrados</t>
  </si>
  <si>
    <t>OTROS SERVICIOS</t>
  </si>
  <si>
    <t>DEVOLUCIONES REBAJAS Y DESCUENTO EN VTA SER</t>
  </si>
  <si>
    <t>TRANSFERENCIAS RECIBIDAS</t>
  </si>
  <si>
    <t>TRANSFERENCIAS CORRIENTES DEL GOBIERNO GRAL</t>
  </si>
  <si>
    <t>Nacional Admon Central</t>
  </si>
  <si>
    <t>OPERACIONES INTERINSTITUCIONALES</t>
  </si>
  <si>
    <t>APORTES Y TRANSPASOS DE FONDOS RECIBIDOS</t>
  </si>
  <si>
    <t>Gastos de Personal</t>
  </si>
  <si>
    <t>Gastos Generales</t>
  </si>
  <si>
    <t>Programas de Inversión</t>
  </si>
  <si>
    <t>Transferencias Corrientes</t>
  </si>
  <si>
    <t>Transferencias de capital</t>
  </si>
  <si>
    <t>OPERACIONES DE ENLACE CON SITUACION F.</t>
  </si>
  <si>
    <t>Recursos de Crédito Externo</t>
  </si>
  <si>
    <t>Otros Recursos de Capital</t>
  </si>
  <si>
    <t>OPERACIONES DE ENLACE SIN SITUACION DE FONDOS</t>
  </si>
  <si>
    <t>Cruce de Cuentas</t>
  </si>
  <si>
    <t>Cuota de Auditaje</t>
  </si>
  <si>
    <t>Desembolso de crédito externo no monetizado</t>
  </si>
  <si>
    <t>Contribuciones para el ICBF</t>
  </si>
  <si>
    <t>Otras Operaciones de enlace sin situación de Fondos</t>
  </si>
  <si>
    <t>OPERACIONES DE TRASP.DE BIENES DERECHOS</t>
  </si>
  <si>
    <t>OTROS INGRESOS</t>
  </si>
  <si>
    <t>FINANCIEROS</t>
  </si>
  <si>
    <t>Intereses y rendimientos de deudores</t>
  </si>
  <si>
    <t>Intereses por Financiación Usuarios</t>
  </si>
  <si>
    <t>Intereses  sobre depósitos</t>
  </si>
  <si>
    <t>Utilidad por Valoración a precios de Mdo</t>
  </si>
  <si>
    <t>Utilidad por inversiones renta fija sector financiero</t>
  </si>
  <si>
    <t>Utilidad en negociacion y venta de inversiones de renta fija</t>
  </si>
  <si>
    <t>Otros ingresos financieros</t>
  </si>
  <si>
    <t>UTILIDAD POR EL METODO DE PARTICIPACION PATRIM.</t>
  </si>
  <si>
    <t>Participaciones en Entres Vinculados o subordinados</t>
  </si>
  <si>
    <t>EXTRAORDINARIOS</t>
  </si>
  <si>
    <t>Utilidad en venta de activos</t>
  </si>
  <si>
    <t>Sobrantes</t>
  </si>
  <si>
    <t>Recuperaciones</t>
  </si>
  <si>
    <t>Venta de Pliegos</t>
  </si>
  <si>
    <t>Donaciones</t>
  </si>
  <si>
    <t>Reintegros vigencias anteriores</t>
  </si>
  <si>
    <t>Excedentes Financieros de Otros Entes Públicos</t>
  </si>
  <si>
    <t>Otros Ingresos extraordinarios</t>
  </si>
  <si>
    <t>AJUSTE DE EJERCICIOS ANTERIORES</t>
  </si>
  <si>
    <t>No tributarios</t>
  </si>
  <si>
    <t>Financieros</t>
  </si>
  <si>
    <t>Extrardinarios</t>
  </si>
  <si>
    <t>Transferencias Corrientes de Gobierno General</t>
  </si>
  <si>
    <t>Sistema General de Participaciones</t>
  </si>
  <si>
    <t>GASTOS</t>
  </si>
  <si>
    <t>ADMINISTRACON</t>
  </si>
  <si>
    <t>SUELDOS Y SALARIOS</t>
  </si>
  <si>
    <t>Sueldos de Personal</t>
  </si>
  <si>
    <t>Jornales</t>
  </si>
  <si>
    <t>Horas Extras y Festivos</t>
  </si>
  <si>
    <t>Gastos de Representación</t>
  </si>
  <si>
    <t>Remuneraciion Servicios Técnicos</t>
  </si>
  <si>
    <t>Personal Supernumerario</t>
  </si>
  <si>
    <t>Prima Técnica</t>
  </si>
  <si>
    <t>Prima de Dirección</t>
  </si>
  <si>
    <t>Prima Especial de Servicios</t>
  </si>
  <si>
    <t>Prima de vacaciones</t>
  </si>
  <si>
    <t>Prima de navidad</t>
  </si>
  <si>
    <t>Primas Extraordinarias</t>
  </si>
  <si>
    <t>Bonificacion Especial de recreación</t>
  </si>
  <si>
    <t>Subsidio Familiar</t>
  </si>
  <si>
    <t>Auxilio de Transporte</t>
  </si>
  <si>
    <t>Capacitación Bienestar social y estímulos</t>
  </si>
  <si>
    <t>Dotación y suministro a trabajadores</t>
  </si>
  <si>
    <t>Gastos deportivo y  recreación</t>
  </si>
  <si>
    <t>Bonificación Por servicios prestados</t>
  </si>
  <si>
    <t>Prima de servicios</t>
  </si>
  <si>
    <t>Prima de Coordinación</t>
  </si>
  <si>
    <t>Subsidio de alimentaciòn</t>
  </si>
  <si>
    <t>Otros Sueldos y salarios</t>
  </si>
  <si>
    <t>CONTRIBUCIONES IMPUTADAS</t>
  </si>
  <si>
    <t>Incapacidades</t>
  </si>
  <si>
    <t>Indemnizaciones</t>
  </si>
  <si>
    <t>Cuotas partes de pensión jubilación</t>
  </si>
  <si>
    <t>Cuotas partes de Bonos Pensionales Emitidos</t>
  </si>
  <si>
    <t>CONTRIBUCIONES EFECTIVAS</t>
  </si>
  <si>
    <t>Aportes de cajas de compensacion familiar</t>
  </si>
  <si>
    <t>Aportes a seguridad social en salud</t>
  </si>
  <si>
    <t>Aporters Sindicales</t>
  </si>
  <si>
    <t>cotizaciones a riesgos profesionales</t>
  </si>
  <si>
    <t>Cotizaciones a Entidades Administradoras del régimen de Prima media</t>
  </si>
  <si>
    <t>Cotizaciones a Entidades Administradoras del régimen de ahorro indiv</t>
  </si>
  <si>
    <t>Otras Contribuciones efectivas</t>
  </si>
  <si>
    <t>APORTES SOBRE LA NOMINA</t>
  </si>
  <si>
    <t>Aportes al ICBF</t>
  </si>
  <si>
    <t>Aportes al SENA</t>
  </si>
  <si>
    <t>Aportes ESAP</t>
  </si>
  <si>
    <t>Aportes a escuelas Industriales e Institutos Técnicos</t>
  </si>
  <si>
    <t>GENERALES</t>
  </si>
  <si>
    <t>Elementos de lenceria</t>
  </si>
  <si>
    <t>Loza y Cristalería</t>
  </si>
  <si>
    <t>Comisiones, honorarios y servicios</t>
  </si>
  <si>
    <t>Vigilancia y Seguridad</t>
  </si>
  <si>
    <t>Materiales y suministros</t>
  </si>
  <si>
    <t>Reparaciones</t>
  </si>
  <si>
    <t>Víaticos y gastos de viaje</t>
  </si>
  <si>
    <t>Publicidad y propaganda</t>
  </si>
  <si>
    <t>Impresos publicaciones suscripciones y afiliacionhes</t>
  </si>
  <si>
    <t>Fotocopias</t>
  </si>
  <si>
    <t>Comunicación y transporte</t>
  </si>
  <si>
    <t>Seguros Generales</t>
  </si>
  <si>
    <t>Imprevistos</t>
  </si>
  <si>
    <t>Promoción y Divulgación</t>
  </si>
  <si>
    <t>Capacitación Docente</t>
  </si>
  <si>
    <t>Materiales de Educación</t>
  </si>
  <si>
    <t>Diseños y Estudios</t>
  </si>
  <si>
    <t>Seguridad Industrial</t>
  </si>
  <si>
    <t>Implementos Deportivos</t>
  </si>
  <si>
    <t>Eventos Culturales</t>
  </si>
  <si>
    <t>Combustibles y lubricantes</t>
  </si>
  <si>
    <t>Servicios Aseo cafetería y restaurante</t>
  </si>
  <si>
    <t>Procesamiento de información</t>
  </si>
  <si>
    <t>Consulta Central Riesgos</t>
  </si>
  <si>
    <t>Organización de Eventos</t>
  </si>
  <si>
    <t>Elementos de Aseo, Lavanderia  y Cafetería</t>
  </si>
  <si>
    <t>Otros gastos generales</t>
  </si>
  <si>
    <t>IMPUESTOS CONTRIBUCIONES Y TASAS</t>
  </si>
  <si>
    <t>Cuota de Fiscalización y auditaje</t>
  </si>
  <si>
    <t>Contribución sobre Transacciones Financieras</t>
  </si>
  <si>
    <t>Industria y comercio</t>
  </si>
  <si>
    <t>Gravamen a los movimientos financieros</t>
  </si>
  <si>
    <t>Otros impuestos y contribuciones</t>
  </si>
  <si>
    <t>DE OPERACIÓN</t>
  </si>
  <si>
    <t>Servicios Públicos</t>
  </si>
  <si>
    <t>PROVISIONES AGOTAMIENTO DEPREC AMORTIZACIONES</t>
  </si>
  <si>
    <t>PROVISION PARA DEUDORES</t>
  </si>
  <si>
    <t>PROVISONES PARA RESPONSABILIDADES</t>
  </si>
  <si>
    <t>Litigios o Demandas</t>
  </si>
  <si>
    <t>DEPRECIACIONES DE PROPIEDADES PLANTA Y EQUIPO</t>
  </si>
  <si>
    <t>Equipo médico y científico</t>
  </si>
  <si>
    <t>Muebles enseres y equipo de Oficina</t>
  </si>
  <si>
    <t>Equipo de comedor cocina despensa y hotelería</t>
  </si>
  <si>
    <t>AMORTIZACION DE BIENES ENTREGADOS A TERCEROS</t>
  </si>
  <si>
    <t>AMORTIZACION DE INTANGIBLES</t>
  </si>
  <si>
    <t>TRANSFERENCIAS GIRADAS</t>
  </si>
  <si>
    <t>POR CONVENIOS CON EL SECTOR PRIVADO</t>
  </si>
  <si>
    <t>Programas con el sector financiero</t>
  </si>
  <si>
    <t>Programas con el sector no financiero bajo control nacional</t>
  </si>
  <si>
    <t>Programas con el sector no financietro bajo control extranjero</t>
  </si>
  <si>
    <t>Programs con entidades sin fines de lucro</t>
  </si>
  <si>
    <t>Otros programas</t>
  </si>
  <si>
    <t>CORRIENTES AL GOBIERNO GENERAL</t>
  </si>
  <si>
    <t>Nacional Administración Central</t>
  </si>
  <si>
    <t>A los establecmientos publicos</t>
  </si>
  <si>
    <t>Nacional Admminsstracion descentralizada</t>
  </si>
  <si>
    <t>Nacional -Administración Descentralizada-Entes Aut.</t>
  </si>
  <si>
    <t>Nacional Administración desc. Entes sin fines de lucro</t>
  </si>
  <si>
    <t>Nacional - otros Entes Descentralizacos Nacionlaes</t>
  </si>
  <si>
    <t>Departamental- Administración Central</t>
  </si>
  <si>
    <t>Departamental-Administración Descentralizada-</t>
  </si>
  <si>
    <t>Departamental Adminstr. Descentra. Entes</t>
  </si>
  <si>
    <t>Departamental Adminstr. Descentra. Entes sin fines de lucro</t>
  </si>
  <si>
    <t>Departamental- otros entes descentralizados departamentales</t>
  </si>
  <si>
    <t>Distrital-Administración Central</t>
  </si>
  <si>
    <t>Distrital-Administración Descentralizada - Entes Autonomos</t>
  </si>
  <si>
    <t>Municipal - Administración Central</t>
  </si>
  <si>
    <t>Municipal - Administración Descentralizada - Entes Autónomos</t>
  </si>
  <si>
    <t>Al Gobierno General Otros Niveles Territoriales</t>
  </si>
  <si>
    <t>Otras Transferencias Corrientes Giradas Al Gobierno Gral</t>
  </si>
  <si>
    <t>CORRIENTES A LAS EMPRESAS</t>
  </si>
  <si>
    <t>No financieras nacionales e industriales</t>
  </si>
  <si>
    <t>No financieras nacionales sociedades</t>
  </si>
  <si>
    <t>No financieras nacionales</t>
  </si>
  <si>
    <t>Nofinancieras Nacionales otras</t>
  </si>
  <si>
    <t>Otras Transferencias Corrientes Giradas a las empresas</t>
  </si>
  <si>
    <t>SITUADO FISCAL</t>
  </si>
  <si>
    <t>Al sector Educación Departamental</t>
  </si>
  <si>
    <t>Al sector Edcuación Distrital</t>
  </si>
  <si>
    <t>SISTEMA GENERAL DE PARTICIPACION</t>
  </si>
  <si>
    <t>Al Sector Educación Departamentales</t>
  </si>
  <si>
    <t xml:space="preserve">Municipios              </t>
  </si>
  <si>
    <t>Al Sector Educación Distrital</t>
  </si>
  <si>
    <t>Entidades Territoriales Indígenas</t>
  </si>
  <si>
    <t>DE CAPITAL AL GOBIERNO CENTRAL</t>
  </si>
  <si>
    <t>Nacional-Administración Descentralizada-Entes Aut.</t>
  </si>
  <si>
    <t>Nacional Otros Entes descentralizados</t>
  </si>
  <si>
    <t>Municipal-Administración Central</t>
  </si>
  <si>
    <t>TRANSFERENCIAS GIRADAS AL EXTERIOR</t>
  </si>
  <si>
    <t>A organismos internacionales</t>
  </si>
  <si>
    <t>GASTO SOCIAL</t>
  </si>
  <si>
    <t>EDUCACION</t>
  </si>
  <si>
    <t>Asignación de bienes y servicios</t>
  </si>
  <si>
    <t>Para Edcuación</t>
  </si>
  <si>
    <t>GASTO DE INVERSION SOCIAL</t>
  </si>
  <si>
    <t>SALUD</t>
  </si>
  <si>
    <t>Sueldos y Salarios</t>
  </si>
  <si>
    <t>Generales</t>
  </si>
  <si>
    <t>ADUCACION, ARTE,CULTURA,REC.Y DEP.</t>
  </si>
  <si>
    <t>Contribuciones imputadas</t>
  </si>
  <si>
    <t>Contribuciones efectivas</t>
  </si>
  <si>
    <t>Aportes sobre la nómina</t>
  </si>
  <si>
    <t>JUSTICIA, DEFENSA Y SEGURIDAD</t>
  </si>
  <si>
    <t>APORTES Y TRANSPASOS DE FONDOS GIRADOS</t>
  </si>
  <si>
    <t>Gastos de personal</t>
  </si>
  <si>
    <t>Servicio Deduda Interna</t>
  </si>
  <si>
    <t>Transferencias corrientes</t>
  </si>
  <si>
    <t>otros</t>
  </si>
  <si>
    <t>OPERACIONES DE ENLACE CON SITUACION DE FONODS</t>
  </si>
  <si>
    <t>Recauos DTN por reclasificar</t>
  </si>
  <si>
    <t>OPERACIÓN DE ENLACE SIN SITUACION DE FONDOS</t>
  </si>
  <si>
    <t>OPERACIONES DE TRASPASO DE B. Y D.</t>
  </si>
  <si>
    <t>Bienes Transferidos</t>
  </si>
  <si>
    <t>OTROS GASTOS</t>
  </si>
  <si>
    <t>INTERESES</t>
  </si>
  <si>
    <t>Obligaciones Financieras de Créditos Obtenidos</t>
  </si>
  <si>
    <t>Adquisicion de bienes y servicios</t>
  </si>
  <si>
    <t>Comisiones y otros gastos bancarios</t>
  </si>
  <si>
    <t>otros gtos financieros</t>
  </si>
  <si>
    <t>Ajustes o Mermas sin Responsabiliad</t>
  </si>
  <si>
    <t>Pérdida en la baja de propiedades planta y equipo</t>
  </si>
  <si>
    <t>Aportes sobre la Nómina</t>
  </si>
  <si>
    <t>Impuestos y Contribuciones</t>
  </si>
  <si>
    <t>Gastos Financieras</t>
  </si>
  <si>
    <t>Intereses</t>
  </si>
  <si>
    <t>Extraordinarios</t>
  </si>
  <si>
    <t>Provisión para Deudores</t>
  </si>
  <si>
    <t>Provisión para Contingencias</t>
  </si>
  <si>
    <t>Depreciación de Maquinaria y Equipo</t>
  </si>
  <si>
    <t>Depreciación  de Muebles, Enseres y Equip. De Ofic.</t>
  </si>
  <si>
    <t>Depreciación de Equipo de Comunicación y Comp.</t>
  </si>
  <si>
    <t>Depreciación Equipo de Transporte Tracción y Elevación</t>
  </si>
  <si>
    <t>Amortizaciones de Intangibles</t>
  </si>
  <si>
    <t>Transferencias por Convenios con el Sector Privado</t>
  </si>
  <si>
    <t>Transferencias corrientes al gobierno general</t>
  </si>
  <si>
    <t>Gtos de Inv. Soc. Educ. Arte y Cultura y Recreac. Y Deporte</t>
  </si>
  <si>
    <t>Gasto de inversión social - ciencia y tecnología</t>
  </si>
  <si>
    <t>CIERRE DE INGRESOS, GASTOS Y COSTOS</t>
  </si>
  <si>
    <t>Cierre de ingresos,gastos y costos</t>
  </si>
  <si>
    <t>CUENTAS DE ORDEN DEUDORAS</t>
  </si>
  <si>
    <t>DEUDORAS DE CONTROL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</si>
  <si>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</si>
  <si>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</si>
  <si>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</si>
  <si>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</si>
  <si>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</si>
  <si>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</si>
  <si>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</si>
  <si>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219218592</t>
  </si>
  <si>
    <t>PUERTO RICO</t>
  </si>
  <si>
    <t>SAN JOSE FRAGUA</t>
  </si>
  <si>
    <t>SAN VICENTE CAGUAN</t>
  </si>
  <si>
    <t>SOLANO</t>
  </si>
  <si>
    <t>SOLITA</t>
  </si>
  <si>
    <t>212219022</t>
  </si>
  <si>
    <t>ALMAGUER</t>
  </si>
  <si>
    <t>215019050</t>
  </si>
  <si>
    <t>BALBOA</t>
  </si>
  <si>
    <t>210019100</t>
  </si>
  <si>
    <t>211019110</t>
  </si>
  <si>
    <t>BUENOS AIRES</t>
  </si>
  <si>
    <t>213019130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</si>
  <si>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</si>
  <si>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</si>
  <si>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</si>
  <si>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</si>
  <si>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</si>
  <si>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</si>
  <si>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</si>
  <si>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</si>
  <si>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</si>
  <si>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</si>
  <si>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</si>
  <si>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</si>
  <si>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</si>
  <si>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</si>
  <si>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</si>
  <si>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</si>
  <si>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</si>
  <si>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</si>
  <si>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</si>
  <si>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</si>
  <si>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</si>
  <si>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</si>
  <si>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</si>
  <si>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</si>
  <si>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</si>
  <si>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</si>
  <si>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</si>
  <si>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</si>
  <si>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</si>
  <si>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</si>
  <si>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211120011</t>
  </si>
  <si>
    <t>AGUACHICA</t>
  </si>
  <si>
    <t>211320013</t>
  </si>
  <si>
    <t>AGUSTIN CODAZZI</t>
  </si>
  <si>
    <t>213220032</t>
  </si>
  <si>
    <t>ASTREA</t>
  </si>
  <si>
    <t>BECERRIL</t>
  </si>
  <si>
    <t>216020060</t>
  </si>
  <si>
    <t>BOSCONIA</t>
  </si>
  <si>
    <t>217520175</t>
  </si>
  <si>
    <t>CHIMICHAGUA</t>
  </si>
  <si>
    <t>CHIRIGUANA</t>
  </si>
  <si>
    <t>CURUMANI</t>
  </si>
  <si>
    <t>213820238</t>
  </si>
  <si>
    <t>EL COPEY</t>
  </si>
  <si>
    <t>215020250</t>
  </si>
  <si>
    <t>EL PASO</t>
  </si>
  <si>
    <t>219520295</t>
  </si>
  <si>
    <t>GAMARRA</t>
  </si>
  <si>
    <t>211020310</t>
  </si>
  <si>
    <t>GONZALEZ</t>
  </si>
  <si>
    <t>218320383</t>
  </si>
  <si>
    <t>LA GLORIA</t>
  </si>
  <si>
    <t>210020400</t>
  </si>
  <si>
    <t>LA JAGUA DE IBIRICO</t>
  </si>
  <si>
    <t>214320443</t>
  </si>
  <si>
    <t>MANAURE</t>
  </si>
  <si>
    <t>211720517</t>
  </si>
  <si>
    <t>PAILITAS</t>
  </si>
  <si>
    <t>PELAYA</t>
  </si>
  <si>
    <t>217020570</t>
  </si>
  <si>
    <t>PUEBLO BELLO</t>
  </si>
  <si>
    <t>211420614</t>
  </si>
  <si>
    <t>RIO DE ORO</t>
  </si>
  <si>
    <t>LA PAZ</t>
  </si>
  <si>
    <t>211020710</t>
  </si>
  <si>
    <t>SAN ALBERTO</t>
  </si>
  <si>
    <t>215020750</t>
  </si>
  <si>
    <t>SAN DIEGO</t>
  </si>
  <si>
    <t>217020770</t>
  </si>
  <si>
    <t>SAN MARTIN</t>
  </si>
  <si>
    <t>218720787</t>
  </si>
  <si>
    <t>TAMALAMEQUE</t>
  </si>
  <si>
    <t>AYAPEL</t>
  </si>
  <si>
    <t>217923079</t>
  </si>
  <si>
    <t>CANALETE</t>
  </si>
  <si>
    <t>CERETE</t>
  </si>
  <si>
    <t>216823168</t>
  </si>
  <si>
    <t>CHIMA</t>
  </si>
  <si>
    <t>218223182</t>
  </si>
  <si>
    <t>CHINU</t>
  </si>
  <si>
    <t>CIENAGA DE ORO</t>
  </si>
  <si>
    <t>210023300</t>
  </si>
  <si>
    <t>COTORRA</t>
  </si>
  <si>
    <t>LA APARTADA</t>
  </si>
  <si>
    <t>211923419</t>
  </si>
  <si>
    <t>LOS CORDOBAS</t>
  </si>
  <si>
    <t>216423464</t>
  </si>
  <si>
    <t>MOMIL</t>
  </si>
  <si>
    <t>216623466</t>
  </si>
  <si>
    <t>MONTELIBANO</t>
  </si>
  <si>
    <t>210023500</t>
  </si>
  <si>
    <t>MOÑITOS</t>
  </si>
  <si>
    <t>PLANETA RICA</t>
  </si>
  <si>
    <t>PUEBLO NUEVO</t>
  </si>
  <si>
    <t>PUERTO ESCONDIDO</t>
  </si>
  <si>
    <t>PUERTO LIBERTADOR</t>
  </si>
  <si>
    <t>PURISIMA</t>
  </si>
  <si>
    <t>217023670</t>
  </si>
  <si>
    <t>SAN ANDRES D SOTAVEN</t>
  </si>
  <si>
    <t>217223672</t>
  </si>
  <si>
    <t>SAN ANTERO</t>
  </si>
  <si>
    <t>217523675</t>
  </si>
  <si>
    <t>SAN BERNARDO V.</t>
  </si>
  <si>
    <t>SAN PELAYO</t>
  </si>
  <si>
    <t>TIERRALTA</t>
  </si>
  <si>
    <t>VALENCIA</t>
  </si>
  <si>
    <t>210125001</t>
  </si>
  <si>
    <t>AGUA DE DIOS</t>
  </si>
  <si>
    <t>211925019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</si>
  <si>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</si>
  <si>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</si>
  <si>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</si>
  <si>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</si>
  <si>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</si>
  <si>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</si>
  <si>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</si>
  <si>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</si>
  <si>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212325123</t>
  </si>
  <si>
    <t>CACHIPAY</t>
  </si>
  <si>
    <t>CAJICA</t>
  </si>
  <si>
    <t>214825148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</si>
  <si>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</si>
  <si>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</si>
  <si>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</si>
  <si>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</si>
  <si>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</si>
  <si>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</si>
  <si>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</si>
  <si>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</si>
  <si>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</si>
  <si>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</si>
  <si>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</si>
  <si>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</si>
  <si>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</si>
  <si>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</si>
  <si>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</si>
  <si>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</si>
  <si>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</si>
  <si>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</si>
  <si>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</si>
  <si>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</si>
  <si>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</si>
  <si>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</si>
  <si>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211225312</t>
  </si>
  <si>
    <t>GUACHETA</t>
  </si>
  <si>
    <t>GUADUAS</t>
  </si>
  <si>
    <t>212225322</t>
  </si>
  <si>
    <t>GUASCA</t>
  </si>
  <si>
    <t>212425324</t>
  </si>
  <si>
    <t>GUATAQUI</t>
  </si>
  <si>
    <t>GUATAVITA</t>
  </si>
  <si>
    <t>GUAYABAL DE SIQUIMA</t>
  </si>
  <si>
    <t>GUAYABETAL</t>
  </si>
  <si>
    <t>213925339</t>
  </si>
  <si>
    <t>GUTIERREZ</t>
  </si>
  <si>
    <t>JERUSALEN</t>
  </si>
  <si>
    <t>JUNIN</t>
  </si>
  <si>
    <t>LA CALERA</t>
  </si>
  <si>
    <t>LA MESA</t>
  </si>
  <si>
    <t>LA PALMA</t>
  </si>
  <si>
    <t>LA PEÑA</t>
  </si>
  <si>
    <t>210225402</t>
  </si>
  <si>
    <t>LENGUAZAQUE</t>
  </si>
  <si>
    <t>212625426</t>
  </si>
  <si>
    <t>MACHETA</t>
  </si>
  <si>
    <t>MADRID</t>
  </si>
  <si>
    <t>MANTA</t>
  </si>
  <si>
    <t>MEDINA</t>
  </si>
  <si>
    <t>217325473</t>
  </si>
  <si>
    <t>MOSQUERA</t>
  </si>
  <si>
    <t>NEMOCON</t>
  </si>
  <si>
    <t>NILO</t>
  </si>
  <si>
    <t>NIMAIMA</t>
  </si>
  <si>
    <t>NOCAIMA</t>
  </si>
  <si>
    <t>OSPINA PEREZ</t>
  </si>
  <si>
    <t>PACHO</t>
  </si>
  <si>
    <t>211825518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</si>
  <si>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</si>
  <si>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</si>
  <si>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</si>
  <si>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</si>
  <si>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</si>
  <si>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</si>
  <si>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</si>
  <si>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</si>
  <si>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</si>
  <si>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219925599</t>
  </si>
  <si>
    <t>APULO</t>
  </si>
  <si>
    <t>211225612</t>
  </si>
  <si>
    <t>RICAURTE</t>
  </si>
  <si>
    <t>214525645</t>
  </si>
  <si>
    <t>SAN ANTONIO D TEQUEN</t>
  </si>
  <si>
    <t>214925649</t>
  </si>
  <si>
    <t>SAN BERNARDO</t>
  </si>
  <si>
    <t>215325653</t>
  </si>
  <si>
    <t>SAN CAYETANO</t>
  </si>
  <si>
    <t>215825658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</si>
  <si>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</si>
  <si>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</si>
  <si>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</si>
  <si>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</si>
  <si>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</si>
  <si>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</si>
  <si>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</si>
  <si>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</si>
  <si>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</si>
  <si>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</si>
  <si>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217925779</t>
  </si>
  <si>
    <t>SUSA</t>
  </si>
  <si>
    <t>SUTATAUSA</t>
  </si>
  <si>
    <t>TABIO</t>
  </si>
  <si>
    <t>TAUSA</t>
  </si>
  <si>
    <t>219725797</t>
  </si>
  <si>
    <t>TENA</t>
  </si>
  <si>
    <t>TENJO</t>
  </si>
  <si>
    <t>TIBACUY</t>
  </si>
  <si>
    <t>TIBIRITA</t>
  </si>
  <si>
    <t>TOCAIMA</t>
  </si>
  <si>
    <t>TOCANCIPA</t>
  </si>
  <si>
    <t>212325823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</si>
  <si>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</si>
  <si>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</si>
  <si>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</si>
  <si>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</si>
  <si>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</si>
  <si>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</si>
  <si>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</si>
  <si>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</si>
  <si>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</si>
  <si>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</si>
  <si>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</si>
  <si>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</si>
  <si>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</si>
  <si>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219825898</t>
  </si>
  <si>
    <t>ZIPACON</t>
  </si>
  <si>
    <t>ZIPAQUIRA</t>
  </si>
  <si>
    <t>QUIBDO</t>
  </si>
  <si>
    <t>210627006</t>
  </si>
  <si>
    <t>ACANDI</t>
  </si>
  <si>
    <t>212527025</t>
  </si>
  <si>
    <t>ALTO BAUDO</t>
  </si>
  <si>
    <t>ATRATO</t>
  </si>
  <si>
    <t>BAGADO</t>
  </si>
  <si>
    <t>BAHIA SOLANO</t>
  </si>
  <si>
    <t>217727077</t>
  </si>
  <si>
    <t>BAJO BAUDO-PIZA</t>
  </si>
  <si>
    <t>219927099</t>
  </si>
  <si>
    <t>BOJAYA</t>
  </si>
  <si>
    <t>213527135</t>
  </si>
  <si>
    <t>CANTON DEL SAN PABLO</t>
  </si>
  <si>
    <t>215027150</t>
  </si>
  <si>
    <t>CARMEN DEL DARIEN</t>
  </si>
  <si>
    <t>216027160</t>
  </si>
  <si>
    <t>CERTEGUI</t>
  </si>
  <si>
    <t>CONDOTO</t>
  </si>
  <si>
    <t>214527245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</si>
  <si>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</si>
  <si>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</si>
  <si>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</si>
  <si>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</si>
  <si>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</si>
  <si>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</si>
  <si>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</si>
  <si>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</si>
  <si>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</si>
  <si>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</si>
  <si>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</si>
  <si>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</si>
  <si>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</si>
  <si>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</si>
  <si>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</si>
  <si>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</si>
  <si>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</si>
  <si>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</si>
  <si>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210641006</t>
  </si>
  <si>
    <t>ACEVEDO</t>
  </si>
  <si>
    <t>211341013</t>
  </si>
  <si>
    <t>AGRADO</t>
  </si>
  <si>
    <t>211641016</t>
  </si>
  <si>
    <t>AIPE</t>
  </si>
  <si>
    <t>212041020</t>
  </si>
  <si>
    <t>ALGECIRAS</t>
  </si>
  <si>
    <t>212641026</t>
  </si>
  <si>
    <t>ALTAMIRA</t>
  </si>
  <si>
    <t>BARAYA</t>
  </si>
  <si>
    <t>CAMPOALEGRE</t>
  </si>
  <si>
    <t>210641206</t>
  </si>
  <si>
    <t>COLOMBIA</t>
  </si>
  <si>
    <t>ELIAS</t>
  </si>
  <si>
    <t>GARZON</t>
  </si>
  <si>
    <t>GIGANTE</t>
  </si>
  <si>
    <t>214941349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</si>
  <si>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</si>
  <si>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</si>
  <si>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</si>
  <si>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</si>
  <si>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</si>
  <si>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</si>
  <si>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</si>
  <si>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</si>
  <si>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</si>
  <si>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213041530</t>
  </si>
  <si>
    <t>PITAL</t>
  </si>
  <si>
    <t>PITALITO</t>
  </si>
  <si>
    <t>211541615</t>
  </si>
  <si>
    <t>RIVERA</t>
  </si>
  <si>
    <t>SALADOBLANCO</t>
  </si>
  <si>
    <t>216841668</t>
  </si>
  <si>
    <t>SAN AGUSTIN</t>
  </si>
  <si>
    <t>217041770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</si>
  <si>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</si>
  <si>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</si>
  <si>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</si>
  <si>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</si>
  <si>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</si>
  <si>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</si>
  <si>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</si>
  <si>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</si>
  <si>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</si>
  <si>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213544035</t>
  </si>
  <si>
    <t>217844078</t>
  </si>
  <si>
    <t>BARRANCAS</t>
  </si>
  <si>
    <t>219044090</t>
  </si>
  <si>
    <t>DIBULLA</t>
  </si>
  <si>
    <t>219844098</t>
  </si>
  <si>
    <t>DISTRACCION</t>
  </si>
  <si>
    <t>211044110</t>
  </si>
  <si>
    <t>EL MOLINO</t>
  </si>
  <si>
    <t>217944279</t>
  </si>
  <si>
    <t>FONSECA</t>
  </si>
  <si>
    <t>217844378</t>
  </si>
  <si>
    <t>HATONUEVO</t>
  </si>
  <si>
    <t>212044420</t>
  </si>
  <si>
    <t>LA JAGUA DEL MPILAR</t>
  </si>
  <si>
    <t>216044560</t>
  </si>
  <si>
    <t>215044650</t>
  </si>
  <si>
    <t>SAN JUAN DEL C.</t>
  </si>
  <si>
    <t>URIBIA</t>
  </si>
  <si>
    <t>215544855</t>
  </si>
  <si>
    <t>URUMITA</t>
  </si>
  <si>
    <t>217444874</t>
  </si>
  <si>
    <t>ALGARROBO</t>
  </si>
  <si>
    <t>ARACATACA</t>
  </si>
  <si>
    <t>215847058</t>
  </si>
  <si>
    <t>ARIGUANI</t>
  </si>
  <si>
    <t>216147161</t>
  </si>
  <si>
    <t>CERRO S.ANTONIO</t>
  </si>
  <si>
    <t>CHIBOLO</t>
  </si>
  <si>
    <t>210547205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</si>
  <si>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</si>
  <si>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</si>
  <si>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</si>
  <si>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</si>
  <si>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</si>
  <si>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</si>
  <si>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</si>
  <si>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</si>
  <si>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</si>
  <si>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</si>
  <si>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</si>
  <si>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</si>
  <si>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</si>
  <si>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</si>
  <si>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</si>
  <si>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</si>
  <si>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</si>
  <si>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</si>
  <si>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</si>
  <si>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</si>
  <si>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</si>
  <si>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</si>
  <si>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</si>
  <si>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</si>
  <si>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</si>
  <si>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</si>
  <si>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</si>
  <si>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</si>
  <si>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</si>
  <si>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</si>
  <si>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</si>
  <si>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</si>
  <si>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</si>
  <si>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</si>
  <si>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</si>
  <si>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</si>
  <si>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</si>
  <si>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</si>
  <si>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</si>
  <si>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</si>
  <si>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</si>
  <si>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</si>
  <si>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</si>
  <si>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</si>
  <si>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</si>
  <si>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</si>
  <si>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</si>
  <si>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</si>
  <si>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</si>
  <si>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</si>
  <si>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</si>
  <si>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</si>
  <si>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</si>
  <si>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</si>
  <si>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</si>
  <si>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</si>
  <si>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</si>
  <si>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</si>
  <si>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</si>
  <si>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</si>
  <si>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</si>
  <si>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</si>
  <si>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</si>
  <si>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</si>
  <si>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</si>
  <si>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</si>
  <si>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</si>
  <si>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</si>
  <si>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</si>
  <si>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</si>
  <si>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</si>
  <si>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</si>
  <si>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</si>
  <si>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</si>
  <si>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</si>
  <si>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</si>
  <si>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</si>
  <si>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</si>
  <si>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</si>
  <si>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</si>
  <si>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</si>
  <si>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</si>
  <si>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</si>
  <si>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</si>
  <si>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</si>
  <si>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</si>
  <si>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</si>
  <si>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</si>
  <si>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</si>
  <si>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</si>
  <si>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</si>
  <si>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</si>
  <si>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</si>
  <si>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</si>
  <si>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</si>
  <si>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</si>
  <si>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</si>
  <si>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</si>
  <si>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</si>
  <si>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</si>
  <si>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</si>
  <si>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</si>
  <si>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</si>
  <si>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</si>
  <si>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</si>
  <si>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</si>
  <si>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</si>
  <si>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</si>
  <si>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</si>
  <si>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</si>
  <si>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</si>
  <si>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</si>
  <si>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</si>
  <si>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</si>
  <si>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</si>
  <si>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</si>
  <si>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</si>
  <si>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</si>
  <si>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</si>
  <si>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</si>
  <si>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</si>
  <si>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</si>
  <si>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</si>
  <si>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</si>
  <si>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</si>
  <si>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</si>
  <si>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</si>
  <si>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</si>
  <si>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</si>
  <si>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</si>
  <si>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</si>
  <si>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</si>
  <si>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</si>
  <si>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</si>
  <si>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</si>
  <si>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</si>
  <si>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</si>
  <si>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</si>
  <si>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</si>
  <si>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</si>
  <si>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</si>
  <si>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</si>
  <si>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</si>
  <si>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</si>
  <si>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</si>
  <si>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</si>
  <si>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</si>
  <si>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</si>
  <si>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</si>
  <si>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</si>
  <si>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</si>
  <si>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211368013</t>
  </si>
  <si>
    <t>AGUADA</t>
  </si>
  <si>
    <t>212068020</t>
  </si>
  <si>
    <t>ARATOCA</t>
  </si>
  <si>
    <t>BARICHARA</t>
  </si>
  <si>
    <t>212168121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</si>
  <si>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</si>
  <si>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</si>
  <si>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</si>
  <si>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</si>
  <si>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</si>
  <si>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</si>
  <si>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</si>
  <si>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</si>
  <si>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</si>
  <si>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</si>
  <si>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</si>
  <si>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</si>
  <si>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</si>
  <si>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</si>
  <si>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215068250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</si>
  <si>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</si>
  <si>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</si>
  <si>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</si>
  <si>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</si>
  <si>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</si>
  <si>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</si>
  <si>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</si>
  <si>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</si>
  <si>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</si>
  <si>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</si>
  <si>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</si>
  <si>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</si>
  <si>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</si>
  <si>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</si>
  <si>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</si>
  <si>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</si>
  <si>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210668406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</si>
  <si>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</si>
  <si>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</si>
  <si>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</si>
  <si>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</si>
  <si>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</si>
  <si>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</si>
  <si>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</si>
  <si>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</si>
  <si>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</si>
  <si>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</si>
  <si>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</si>
  <si>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</si>
  <si>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</si>
  <si>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</si>
  <si>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</si>
  <si>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</si>
  <si>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</si>
  <si>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</si>
  <si>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</si>
  <si>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</si>
  <si>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</si>
  <si>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</si>
  <si>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</si>
  <si>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</si>
  <si>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 xml:space="preserve">SAN VICENTE DE CHUCURI </t>
  </si>
  <si>
    <t>210568705</t>
  </si>
  <si>
    <t>SANTA HELENA</t>
  </si>
  <si>
    <t>SIMACOTA</t>
  </si>
  <si>
    <t>215568755</t>
  </si>
  <si>
    <t>SOCORRO</t>
  </si>
  <si>
    <t>SUAITA</t>
  </si>
  <si>
    <t>217368773</t>
  </si>
  <si>
    <t>SURATA</t>
  </si>
  <si>
    <t>TONA</t>
  </si>
  <si>
    <t>VALLE SAN JOSE</t>
  </si>
  <si>
    <t>VELEZ</t>
  </si>
  <si>
    <t>VETAS</t>
  </si>
  <si>
    <t>219568895</t>
  </si>
  <si>
    <t>ZAPATOCA</t>
  </si>
  <si>
    <t>CAIMITO</t>
  </si>
  <si>
    <t>COLOSO</t>
  </si>
  <si>
    <t>COROZAL</t>
  </si>
  <si>
    <t>089970221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</si>
  <si>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</si>
  <si>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</si>
  <si>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</si>
  <si>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</si>
  <si>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</si>
  <si>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</si>
  <si>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</si>
  <si>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</si>
  <si>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</si>
  <si>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</si>
  <si>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</si>
  <si>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</si>
  <si>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</si>
  <si>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</si>
  <si>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</si>
  <si>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</si>
  <si>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</si>
  <si>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</si>
  <si>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</si>
  <si>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</si>
  <si>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</si>
  <si>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</si>
  <si>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</si>
  <si>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</si>
  <si>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</si>
  <si>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</si>
  <si>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</si>
  <si>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</si>
  <si>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</si>
  <si>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</si>
  <si>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</si>
  <si>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</si>
  <si>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</si>
  <si>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</si>
  <si>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</si>
  <si>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</si>
  <si>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</si>
  <si>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</si>
  <si>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</si>
  <si>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</si>
  <si>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</si>
  <si>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</si>
  <si>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</si>
  <si>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</si>
  <si>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</si>
  <si>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</si>
  <si>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</si>
  <si>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</si>
  <si>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</si>
  <si>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</si>
  <si>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</si>
  <si>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</si>
  <si>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</si>
  <si>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</si>
  <si>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</si>
  <si>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</si>
  <si>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</si>
  <si>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</si>
  <si>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</si>
  <si>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ACITIVOS TOTALMENTE DEPRE AGOT O AMORTIZADOS</t>
  </si>
  <si>
    <t>Intangibles</t>
  </si>
  <si>
    <t>BIENES PENDIENTES DE LEGALIZAR</t>
  </si>
  <si>
    <t>OTRAS CUENTAS DEUDORAS DE CONTROL</t>
  </si>
  <si>
    <t>Otras cuentas deudora de control</t>
  </si>
  <si>
    <t>DEUDORAS POR EL CONTRA CR</t>
  </si>
  <si>
    <t>DEUDORAS CONTROL POR EL CONTR  CR</t>
  </si>
  <si>
    <t>Activos Totalmente Depreciados Agotados o amortizados</t>
  </si>
  <si>
    <t>Bienes y Derechos en Invesitig. Administrativa</t>
  </si>
  <si>
    <t>Bienes Pendientes de Legalizar</t>
  </si>
  <si>
    <t>otras cuentas deudoras de control</t>
  </si>
  <si>
    <t>CUENTA DE ORDEN ACREEDORAS</t>
  </si>
  <si>
    <t>RESPONSABILIDADES CONTINGENTES</t>
  </si>
  <si>
    <t>LIITIGIOS Y DEMANDAS</t>
  </si>
  <si>
    <t>Lborales</t>
  </si>
  <si>
    <t>RESERVAS PRESUPUESTALES</t>
  </si>
  <si>
    <t>Reservas Prespuestales SIIF</t>
  </si>
  <si>
    <t>OTRAS RESPONSABILIDADES CONTINGENTES</t>
  </si>
  <si>
    <t>Otras responsabilidades contingentes</t>
  </si>
  <si>
    <t>ACREEDORAS DE CONTROL</t>
  </si>
  <si>
    <t>BIENES RECIBIDOS DE TERCEROS</t>
  </si>
  <si>
    <t>OTRAS CUENTAS ACREEDORAS DE CONTROL</t>
  </si>
  <si>
    <t>Anticipos y Fondos en Administración</t>
  </si>
  <si>
    <t>Otras cuentas acreedoras de control</t>
  </si>
  <si>
    <t>ACREEDORAS POR EL CONTR  (db)</t>
  </si>
  <si>
    <t>ACREEDORAS DE CONTROL POR EL CONTR    DB</t>
  </si>
  <si>
    <t>litigios y demandas</t>
  </si>
  <si>
    <t>Resevas presupuestales SIIF</t>
  </si>
  <si>
    <t>Bienes Recibidos de Terceros</t>
  </si>
  <si>
    <t>CUENTAS DE PLANEACION Y PRESUPUESTO</t>
  </si>
  <si>
    <t>PRESUPUESTO DE INGRESOS</t>
  </si>
  <si>
    <t>INGRESOS APROBADOS DB</t>
  </si>
  <si>
    <t>Venta de Servicios Educativos</t>
  </si>
  <si>
    <t>Transferencias Nacionales</t>
  </si>
  <si>
    <t>INGRESOS POR EJECUTAR CR</t>
  </si>
  <si>
    <t>RECAUDOS EN EFECTIVO CR</t>
  </si>
  <si>
    <t>RECONOCIMIENTOS  DB</t>
  </si>
  <si>
    <t>Venta de Servicios</t>
  </si>
  <si>
    <t>Otras transferencias</t>
  </si>
  <si>
    <t xml:space="preserve">RECAUDO POR INGRESOS NO AFORADOS CR </t>
  </si>
  <si>
    <t>RECONOCIMIENTOS VIGENCIAS ANTERIORES DB</t>
  </si>
  <si>
    <t xml:space="preserve">RECONOC.  POR EJECUTAR VIGENCIAS ANTERIORES CR </t>
  </si>
  <si>
    <t>PRESUPUESTO DE GASTO DE LA VIGENCIA</t>
  </si>
  <si>
    <t>GASTOS APROBADOS CR</t>
  </si>
  <si>
    <t>Servicios Personales Asociados a la nómina</t>
  </si>
  <si>
    <t>Servicios personales indirectos</t>
  </si>
  <si>
    <t>Contribuciones inherentes a nómina sector provado</t>
  </si>
  <si>
    <t>Contribuciones inherentes a nómina sector público</t>
  </si>
  <si>
    <t>Adquisición de bienes</t>
  </si>
  <si>
    <t>Adquisición de Servicios</t>
  </si>
  <si>
    <t>Impuestos y multas</t>
  </si>
  <si>
    <t>030520</t>
  </si>
  <si>
    <t>Transferencias emp financieras nacional</t>
  </si>
  <si>
    <t>Transferencias a otras entidades públicas de orden territorial</t>
  </si>
  <si>
    <t>Transferencias a organismos internacionales</t>
  </si>
  <si>
    <t>Otras transferencias de previsión y seguridad social</t>
  </si>
  <si>
    <t>Transferencias po convenios con el sector privado</t>
  </si>
  <si>
    <t>Otrans transferencias por sentencias y conciliaciones</t>
  </si>
  <si>
    <t>Otras transferencia</t>
  </si>
  <si>
    <t>Inversión Sector Educación</t>
  </si>
  <si>
    <t>particpacion para eduación</t>
  </si>
  <si>
    <t>GASTOS POR EJECUTAR DB</t>
  </si>
  <si>
    <t>Situado fiscal</t>
  </si>
  <si>
    <t>Transferencias por convenios con el sector privado</t>
  </si>
  <si>
    <t>Otras transferencias por sentencias y conciliaciones</t>
  </si>
  <si>
    <t>Inversión  sector educación</t>
  </si>
  <si>
    <t>CERTIFICADOS DE DISPON EXPEDIDOS DB</t>
  </si>
  <si>
    <t>Contiribuaciones inherentes a la nómina del sector privado</t>
  </si>
  <si>
    <t>Contibuciones inherentes a la nómina del sector público</t>
  </si>
  <si>
    <t>Impuestos, Multas y Contribuciones</t>
  </si>
  <si>
    <t>Transferencias a empresas no financieras Nacionales</t>
  </si>
  <si>
    <t>Transferencias a otras intidades publicas de orden nacional</t>
  </si>
  <si>
    <t>Transferencias a organismios internacionales</t>
  </si>
  <si>
    <t>Inversión Sector educación</t>
  </si>
  <si>
    <t>GASTOS COMPROMETIDOS DB</t>
  </si>
  <si>
    <t>Contribuciones inherentes a la nómina sector priv.</t>
  </si>
  <si>
    <t>Contribuciones inherentes a la nómina sector publ.</t>
  </si>
  <si>
    <t>Adquisición de servicios</t>
  </si>
  <si>
    <t>Situado Fiscal Educación</t>
  </si>
  <si>
    <t>Transferencias Empresas no financieras nacionales</t>
  </si>
  <si>
    <t>Transferencias a otras Ent.Públicas del orden t.</t>
  </si>
  <si>
    <t>Otras transf. de previsión y seguridad social</t>
  </si>
  <si>
    <t>Otras transf. por sentencias y conciliaciones</t>
  </si>
  <si>
    <t>OBLIGACIONES CONTRAIDAS DB</t>
  </si>
  <si>
    <t>Contribuciones inherentes a nómina sector privado</t>
  </si>
  <si>
    <t>Impuestos multas y contribuciones</t>
  </si>
  <si>
    <t>Otras trasnferencias por sentencias y conciliaciones</t>
  </si>
  <si>
    <t>PAGOS DE LA VIGENCIA DB</t>
  </si>
  <si>
    <t>Adqusición de servicios</t>
  </si>
  <si>
    <t>Inversión sector Educación</t>
  </si>
  <si>
    <t>RESERVAS PRESUPUESTALES CONSTITUI CR</t>
  </si>
  <si>
    <t>RESERVAS PRESUPUESTALES POR EJEC DB</t>
  </si>
  <si>
    <t>Transferencias de Capital</t>
  </si>
  <si>
    <t>OBLIGACIONES CONTRAIDAS POR RESERVAS</t>
  </si>
  <si>
    <t>Servicios Personales</t>
  </si>
  <si>
    <t>RESERVAS PRESUPUESTALES PAGADAS</t>
  </si>
  <si>
    <t>CUENTAS POR PAGAR CONSTITUIDAS (CR)</t>
  </si>
  <si>
    <t>CUENTAS POR PAGAR PENDIENTES DE CANCELAR</t>
  </si>
  <si>
    <t>Programas de Inversion</t>
  </si>
  <si>
    <t>CUENTAS POR PAGAR CANCELADAS</t>
  </si>
  <si>
    <t>PLAN PLURIANUAL DE INVERSIONES APROBADO (CR)</t>
  </si>
  <si>
    <t>SECTOR EDUCACION</t>
  </si>
  <si>
    <t>CONSTRUCCION, ADQUISICION, MEJORAMIENTO INFRA.</t>
  </si>
  <si>
    <t>PLAN PLURIANUAL DE INVERSIONES APROBADO (DB)</t>
  </si>
  <si>
    <t>CECILIA MARIA VELEZ WHITE</t>
  </si>
  <si>
    <t>NOHEMY ARIAS OTERO</t>
  </si>
  <si>
    <t>MINISTRA DE EDUCACION NACIONAL</t>
  </si>
  <si>
    <t>SECRETARIA GENERAL</t>
  </si>
  <si>
    <t>MIRELLA SANDRA CAMELO QUIMBAYO</t>
  </si>
  <si>
    <t xml:space="preserve">CONTADOR PUBLICO </t>
  </si>
  <si>
    <t>T.P.40308 T</t>
  </si>
  <si>
    <t>MINISTERIO DE EDUCACION NACIONAL</t>
  </si>
  <si>
    <t>BALANCE GENERAL</t>
  </si>
  <si>
    <t>A 31 DE DICIEMBRE DE 2006</t>
  </si>
  <si>
    <t>(Cifras en miles de pesos)</t>
  </si>
  <si>
    <t>CONSOLIDADO</t>
  </si>
  <si>
    <t>Periodo</t>
  </si>
  <si>
    <t>Código</t>
  </si>
  <si>
    <t>Actual</t>
  </si>
  <si>
    <t>$</t>
  </si>
  <si>
    <t>CORRIENTE (1)</t>
  </si>
  <si>
    <t>CORRIENTE (4)</t>
  </si>
  <si>
    <t>Depósitos y exigibilidades</t>
  </si>
  <si>
    <t>Caja</t>
  </si>
  <si>
    <t>Operaciones de banca central</t>
  </si>
  <si>
    <t>Operaciones de captación y servicios financieros</t>
  </si>
  <si>
    <t>Fondos Interbanc.vendidos y pactos de rev.</t>
  </si>
  <si>
    <t>Fondos comprados y pactos de recompra</t>
  </si>
  <si>
    <t>Fondos en tránsito</t>
  </si>
  <si>
    <t>Fondos especiales</t>
  </si>
  <si>
    <t>Deuda pública</t>
  </si>
  <si>
    <t>Inversiones</t>
  </si>
  <si>
    <t>Interna</t>
  </si>
  <si>
    <t>Inversiones Admon. De Liquidez R.Fija</t>
  </si>
  <si>
    <t>Préstamos Gubernamentales de Larg. Plazo</t>
  </si>
  <si>
    <t>Inversiones de Renta Variable</t>
  </si>
  <si>
    <t>De renta fija</t>
  </si>
  <si>
    <t>Obligaciones financieras</t>
  </si>
  <si>
    <t>De renta variable en entidades privadas</t>
  </si>
  <si>
    <t>Provisión para protección de inversiones</t>
  </si>
  <si>
    <t>Obligaciones financiera nacionales</t>
  </si>
  <si>
    <t>Obligaciones financieras del exterior</t>
  </si>
  <si>
    <t>Rentas por cobrar</t>
  </si>
  <si>
    <t>Vigencia actual</t>
  </si>
  <si>
    <t>Cuentas por pagar</t>
  </si>
  <si>
    <t>Vigencia anterior</t>
  </si>
  <si>
    <t>Dificil recaudo</t>
  </si>
  <si>
    <t>Adquisicion de Bienes y servicios</t>
  </si>
  <si>
    <t>Provisión para rentas por cobrar</t>
  </si>
  <si>
    <t>Transferencias</t>
  </si>
  <si>
    <t>Proveedores del exterior</t>
  </si>
  <si>
    <t>Contratistas</t>
  </si>
  <si>
    <t>Ingresos no Tributarios</t>
  </si>
  <si>
    <t>Operaciones de seguros y reaseguros</t>
  </si>
  <si>
    <t>fondos especiales</t>
  </si>
  <si>
    <t>Aportes por pagar a afiliados</t>
  </si>
  <si>
    <t>Cuentas por Cobrar</t>
  </si>
  <si>
    <t>Acreedores</t>
  </si>
  <si>
    <t>Aportes por Cobrar</t>
  </si>
  <si>
    <t>Subsidios asignados</t>
  </si>
  <si>
    <t>Transferencias por cobrar</t>
  </si>
  <si>
    <t>Gastos financieros por pagar</t>
  </si>
  <si>
    <t>Préstamos concedidos</t>
  </si>
  <si>
    <t>Retención en la fuente e impuesto de timbre</t>
  </si>
  <si>
    <t>Avances y anticipos entregados</t>
  </si>
  <si>
    <t>Retención impuesto de industria y comercio</t>
  </si>
  <si>
    <t>Antic. o saldos a favor por imp. y cont.</t>
  </si>
  <si>
    <t>Impuestos, contribuciones y tasas por pagar</t>
  </si>
  <si>
    <t>Depósitos entregados</t>
  </si>
  <si>
    <t>Impuesto al valor agregado</t>
  </si>
  <si>
    <t>Avances y anticipos recibidos</t>
  </si>
  <si>
    <t>Deudas de dificil cobro</t>
  </si>
  <si>
    <t>Depositos recibidos de terceros</t>
  </si>
  <si>
    <t>Provisión para deudores</t>
  </si>
  <si>
    <t>Créditos judiciales</t>
  </si>
  <si>
    <t>Premios por pagar</t>
  </si>
  <si>
    <t>Otras cuentas por pagar</t>
  </si>
  <si>
    <t>Mercancías procesadas</t>
  </si>
  <si>
    <t>Mercancías en existencia</t>
  </si>
  <si>
    <t>Obligaciones Laborales</t>
  </si>
  <si>
    <t>Materias primas y suministros</t>
  </si>
  <si>
    <t>Banco de órganos y tejidos</t>
  </si>
  <si>
    <t>Salarios y prestaciones sociales</t>
  </si>
  <si>
    <t>Productos en proceso</t>
  </si>
  <si>
    <t>Pensiones por pagar</t>
  </si>
  <si>
    <t>En tránsito</t>
  </si>
  <si>
    <t>En poder de terceros</t>
  </si>
  <si>
    <t>Bonos y títulos emitidos</t>
  </si>
  <si>
    <t>Provisión para protección de inventarios</t>
  </si>
  <si>
    <t>Títulos de regulación monetaria y cambiaria</t>
  </si>
  <si>
    <t>Bonos</t>
  </si>
  <si>
    <t>Otros activos</t>
  </si>
  <si>
    <t>Bonos y títulos pensionales</t>
  </si>
  <si>
    <t>Gastos pagados por anticipado</t>
  </si>
  <si>
    <t>Títulos emmitidos por el tesoro nacional</t>
  </si>
  <si>
    <t>Cargos diferidos</t>
  </si>
  <si>
    <t>Otros bonos y títulos emitidos</t>
  </si>
  <si>
    <t>Inversión Social Diferida</t>
  </si>
  <si>
    <t>Obras y mejoras en propiedad ajena</t>
  </si>
  <si>
    <t>Bienes entregados a terceros</t>
  </si>
  <si>
    <t>Pasivos estimados</t>
  </si>
  <si>
    <t>Amortiz.de bienes entregados a terceros</t>
  </si>
  <si>
    <t>Bienes en proceso de titularización</t>
  </si>
  <si>
    <t>Provisión para obligaciones fiscales</t>
  </si>
  <si>
    <t>Bienes recibidos en dación de pago</t>
  </si>
  <si>
    <t>Provisión para contingencias</t>
  </si>
  <si>
    <t>Provis.bienesrecib. en dación de pago</t>
  </si>
  <si>
    <t>Provisión para prestaciones sociales</t>
  </si>
  <si>
    <t>Activos adq. de instituciones inscritas</t>
  </si>
  <si>
    <t>Pensiones de jubilación</t>
  </si>
  <si>
    <t>Bienes adquiridos en leasing</t>
  </si>
  <si>
    <t>Provisión para seguros</t>
  </si>
  <si>
    <t>Deprec. de bienes adquiridos en leasing</t>
  </si>
  <si>
    <t>Provisiones diversas</t>
  </si>
  <si>
    <t>Amortiz.de bienes adquiridos en leasing</t>
  </si>
  <si>
    <t>Capital garantía otorgado</t>
  </si>
  <si>
    <t>Otros pasivos</t>
  </si>
  <si>
    <t>Responsabilidades</t>
  </si>
  <si>
    <t>Provisión para responsabilidades</t>
  </si>
  <si>
    <t>Recaudos a favor de terceros</t>
  </si>
  <si>
    <t>Bienes de arte y cultura</t>
  </si>
  <si>
    <t>Ingresos recibidos por anticipado</t>
  </si>
  <si>
    <t>Provisión de bienes de arte y cultura</t>
  </si>
  <si>
    <t>Créditos diferidos</t>
  </si>
  <si>
    <t>Capital garantía emitido</t>
  </si>
  <si>
    <t>Amortización acumulada de intangibles</t>
  </si>
  <si>
    <t>Obligaciones en Investigación Administrativa</t>
  </si>
  <si>
    <t>Principal y subalterna</t>
  </si>
  <si>
    <t>Valorizaciones</t>
  </si>
  <si>
    <t>Saldo neto de consolidación en cuentas</t>
  </si>
  <si>
    <t>de balance (CR) *</t>
  </si>
  <si>
    <t>NO CORRIENTE (5)</t>
  </si>
  <si>
    <t>NO CORRIENTE (2)</t>
  </si>
  <si>
    <t>Inversiones Patrimoniales met. costos.</t>
  </si>
  <si>
    <t>Externa</t>
  </si>
  <si>
    <t>Inversiones Patrimoniales met. Partic.</t>
  </si>
  <si>
    <t>De renta variable entre entidades públicas</t>
  </si>
  <si>
    <t>De renta variable en empresas privadas</t>
  </si>
  <si>
    <t>Provisión para rpotección de inversiones</t>
  </si>
  <si>
    <t>Obligaciones financieras nacionales</t>
  </si>
  <si>
    <t>Proveedores nacionales</t>
  </si>
  <si>
    <t>Cuentas por cobrar</t>
  </si>
  <si>
    <t>Aportes por cobrar</t>
  </si>
  <si>
    <t>subsidios Asignados</t>
  </si>
  <si>
    <t>Retención en la fuente, impuestos y timbre</t>
  </si>
  <si>
    <t>Retención imp.de ind.y cio. por pagar</t>
  </si>
  <si>
    <t>Antic. o saldos a favor por imptos. y contrib.</t>
  </si>
  <si>
    <t>Depósitos recibidos de terceros</t>
  </si>
  <si>
    <t>Propiedades, planta y equipo</t>
  </si>
  <si>
    <t>Obligaciones laborales</t>
  </si>
  <si>
    <t>Semovientes</t>
  </si>
  <si>
    <t>Construcciones en curso</t>
  </si>
  <si>
    <t>Maquinaria, planta y equipo en montaje</t>
  </si>
  <si>
    <t>Maquinaria, planta y equipo en tránsito</t>
  </si>
  <si>
    <t>Equipos y materiales en depósito</t>
  </si>
  <si>
    <t>Bienes muebles en bodega</t>
  </si>
  <si>
    <t>Propiedades, planta y equipo en manten.</t>
  </si>
  <si>
    <t>Vías de comunicación y acceso</t>
  </si>
  <si>
    <t>Títulos emitidos por el tesoro nacional</t>
  </si>
  <si>
    <t>Plantas y ductos</t>
  </si>
  <si>
    <t>Redes, líneas y cables</t>
  </si>
  <si>
    <t>Maquinaria y equipo</t>
  </si>
  <si>
    <t>Muebles, enseres y equipos de oficina</t>
  </si>
  <si>
    <t>Equipos de comunicación y computación</t>
  </si>
  <si>
    <t>Equipo de transporte, tracción y elevac.</t>
  </si>
  <si>
    <t>Equipo de comedor, cocina, desp. y hotele.</t>
  </si>
  <si>
    <t>Depreciación acumulada</t>
  </si>
  <si>
    <t>Amortización acumulada</t>
  </si>
  <si>
    <t>Depreciación diferida</t>
  </si>
  <si>
    <t>Provisiones</t>
  </si>
  <si>
    <t>Bienes de beneficio y uso público</t>
  </si>
  <si>
    <t>Materiales en tránsito</t>
  </si>
  <si>
    <t>Bienes de benef. y uso público en const.</t>
  </si>
  <si>
    <t>Bienes de uso público</t>
  </si>
  <si>
    <t>Bienes históricos y culturales</t>
  </si>
  <si>
    <t>TOTAL PASIVO</t>
  </si>
  <si>
    <t>Amort. acum. de bienes de uso público</t>
  </si>
  <si>
    <t>Recursos naturales y del ambiente</t>
  </si>
  <si>
    <t>PATRIMONIO (7)</t>
  </si>
  <si>
    <t>Recursos renovables</t>
  </si>
  <si>
    <t>Amort. acum. de recursos renovables</t>
  </si>
  <si>
    <t>Hacienda pública</t>
  </si>
  <si>
    <t>Recursos no renovables</t>
  </si>
  <si>
    <t>gotam. acum. de recursos no renovables</t>
  </si>
  <si>
    <t>Capital fiscal</t>
  </si>
  <si>
    <t>Invers. en explot. de recursos no renovables</t>
  </si>
  <si>
    <t>Resultados del ejercicio</t>
  </si>
  <si>
    <t>Amort. acum. de inv. en rec. no renovab.</t>
  </si>
  <si>
    <t>Superavit por Valorizacion</t>
  </si>
  <si>
    <t>Superavit por metodo de participación</t>
  </si>
  <si>
    <t>Superavit por donación</t>
  </si>
  <si>
    <t>Patrimonio público incorporado</t>
  </si>
  <si>
    <t>Revalorización hacienda pública</t>
  </si>
  <si>
    <t>Inversion Social Diferida</t>
  </si>
  <si>
    <t>Efecto del Saneamiento Contable</t>
  </si>
  <si>
    <t>Patrimonio institucional</t>
  </si>
  <si>
    <t>Amort. de bienes entregados a terceros</t>
  </si>
  <si>
    <t>Capital autorizado y pagado</t>
  </si>
  <si>
    <t>Prov. bienes recib. en dación de pago</t>
  </si>
  <si>
    <t>Prima en colocac. de acciones o cuotas</t>
  </si>
  <si>
    <t>Reservas</t>
  </si>
  <si>
    <t>Dividendos y participac. decretados</t>
  </si>
  <si>
    <t>Deprec. de bienes adquir. en leasing</t>
  </si>
  <si>
    <t>Utilidad o pérdida de ejerc. anteriores</t>
  </si>
  <si>
    <t>Amort. de bienes adquiridos en leasing</t>
  </si>
  <si>
    <t>Superavit por valorización</t>
  </si>
  <si>
    <t>Revalorización del patrimonio</t>
  </si>
  <si>
    <t>Patrimonio institucional incorporado</t>
  </si>
  <si>
    <t>Bienes y Derechos en Investigación Adtiva</t>
  </si>
  <si>
    <t>de balance (CR)</t>
  </si>
  <si>
    <t>TOTAL ACTIVO (3)</t>
  </si>
  <si>
    <t>TOTAL PASIVO Y PATRIMONIO (8)</t>
  </si>
  <si>
    <t>CUENTAS DE ORDEN DEUDORAS (9)</t>
  </si>
  <si>
    <t>CUENTAS DE ORDEN ACREEDORAS (10)</t>
  </si>
  <si>
    <t>Derechos contingentes</t>
  </si>
  <si>
    <t>Responsabilidades contingentes</t>
  </si>
  <si>
    <t>Deudoras fiscales</t>
  </si>
  <si>
    <t>Acreedores fiscales</t>
  </si>
  <si>
    <t>Deudoras de control</t>
  </si>
  <si>
    <t>Acreedoras de control</t>
  </si>
  <si>
    <t>Deudoras fiduciarias</t>
  </si>
  <si>
    <t>Acreedoras fiduciarias</t>
  </si>
  <si>
    <t>Deudoras por contra (cr)</t>
  </si>
  <si>
    <t>Acreedoras por contra (db)</t>
  </si>
  <si>
    <t xml:space="preserve"> </t>
  </si>
  <si>
    <t xml:space="preserve">ESTADO DE ACTIVIDAD FINANCIERA, ECONOMICA Y SOCIAL </t>
  </si>
  <si>
    <t>Cuentas</t>
  </si>
  <si>
    <t>INGRESOS OPERACIONALES (1)</t>
  </si>
  <si>
    <t>Ingresos fiscales</t>
  </si>
  <si>
    <t>Tributarios</t>
  </si>
  <si>
    <t>Rentas parafiscales</t>
  </si>
  <si>
    <t>Ingresos por fondos especiales</t>
  </si>
  <si>
    <t>Devoluciones, descuentos, amnistías</t>
  </si>
  <si>
    <t>Venta de bienes</t>
  </si>
  <si>
    <t>Bienes Producidos</t>
  </si>
  <si>
    <t>Bienes comercializados</t>
  </si>
  <si>
    <t>Devoluciones, rebajas y descuentos en venta de bienes (db)</t>
  </si>
  <si>
    <t>Venta de servicios</t>
  </si>
  <si>
    <t>Servicios educativos</t>
  </si>
  <si>
    <t>Servicios de previsión social</t>
  </si>
  <si>
    <t>Servicios de salud</t>
  </si>
  <si>
    <t>Servicios de energía</t>
  </si>
  <si>
    <t>Servicios de acueducto</t>
  </si>
  <si>
    <t>Servicios de alcantarillado</t>
  </si>
  <si>
    <t>Servicios de aseo</t>
  </si>
  <si>
    <t>Servicios de gas combustible</t>
  </si>
  <si>
    <t>Servicios de tránsito y transporte</t>
  </si>
  <si>
    <t>Servicios de telecomunicaciones</t>
  </si>
  <si>
    <t>Juegos de suerte y azar</t>
  </si>
  <si>
    <t>Servicios hoteleros</t>
  </si>
  <si>
    <t>Servicios financieros</t>
  </si>
  <si>
    <t>Servicios de seguros y reaseguros</t>
  </si>
  <si>
    <t>Servicios de documentación e identificación</t>
  </si>
  <si>
    <t>Otros servicios</t>
  </si>
  <si>
    <t>Devoluaciones, rebajas y descuentos en venta de servicios (db)</t>
  </si>
  <si>
    <t>Transferencias corrientes al Gobierno Nacional</t>
  </si>
  <si>
    <t>Transferencias intergubernamentales recibidas</t>
  </si>
  <si>
    <t>Transferencias corrientes recibidas</t>
  </si>
  <si>
    <t>Situado fiscal recibido</t>
  </si>
  <si>
    <t>Transferencias de capital recibidas por participación en los</t>
  </si>
  <si>
    <t>ingresos corrientes de la Nación</t>
  </si>
  <si>
    <t>Otras transferencias de capital recibidas</t>
  </si>
  <si>
    <t>Otras transferencias corrientes</t>
  </si>
  <si>
    <t>Otras transferencias recibidas</t>
  </si>
  <si>
    <t>Operaciones Interinstitucionales (Recibidas)</t>
  </si>
  <si>
    <t>Aportes y traspasos de fondos recibidos</t>
  </si>
  <si>
    <t>Operaciones de enlace</t>
  </si>
  <si>
    <t>Operaciones de enlace sin situación de fondos</t>
  </si>
  <si>
    <t>Operaciones de traspaso de bienes</t>
  </si>
  <si>
    <t>COSTO DE VENTAS (2)</t>
  </si>
  <si>
    <t>Costo de ventas de bienes y servicios</t>
  </si>
  <si>
    <t>GASTOS OPERACIONALES (3)</t>
  </si>
  <si>
    <t>De administración</t>
  </si>
  <si>
    <t>Sueldos y salarios</t>
  </si>
  <si>
    <t>Contribuciones Imputadas</t>
  </si>
  <si>
    <t>Contribuciones Efectivas</t>
  </si>
  <si>
    <t>Aportes sobre la Nomina</t>
  </si>
  <si>
    <t>Impuestos Contribuciones y Tasas</t>
  </si>
  <si>
    <t>De operación</t>
  </si>
  <si>
    <t>Servicios personales</t>
  </si>
  <si>
    <t>Provisiones, agotamiento, depreciación y amortización</t>
  </si>
  <si>
    <t>Agotamiento</t>
  </si>
  <si>
    <t>Depreciación</t>
  </si>
  <si>
    <t>Amortizaciones de Bienes Entregados a Terceros</t>
  </si>
  <si>
    <t>Amortizaciones</t>
  </si>
  <si>
    <t>Transferencias giradas por convenios con el sector privado</t>
  </si>
  <si>
    <t>Corrientes al gobierno general</t>
  </si>
  <si>
    <t>Corrientes a las empresas</t>
  </si>
  <si>
    <t>Sistema General de Participación</t>
  </si>
  <si>
    <t>De capital al gobierno central</t>
  </si>
  <si>
    <t>Otras transferencias giradas</t>
  </si>
  <si>
    <t>Transferencias corrientes giradas al exterior</t>
  </si>
  <si>
    <t>Transferencias de capital giradas por participación en ingresos</t>
  </si>
  <si>
    <t>Otras transferencias de capital giradas</t>
  </si>
  <si>
    <t>Gasto Social</t>
  </si>
  <si>
    <t>Gasto de Inversión Social</t>
  </si>
  <si>
    <t>Educación Arte y Cultura</t>
  </si>
  <si>
    <t>Operaciones Interinstitucionales</t>
  </si>
  <si>
    <t>aportes y traspasos de fondos girados</t>
  </si>
  <si>
    <t>Operaciones de enlace con situación de fondos</t>
  </si>
  <si>
    <t>Operaciones de traspaso de Bienes, derechos y Obligaciones</t>
  </si>
  <si>
    <t>EXCEDENTE (DÉFICIT) OPERACIONAL (4)</t>
  </si>
  <si>
    <t>OTROS INGRESOS (5)</t>
  </si>
  <si>
    <t>Utilidad por elmétodo de participación patrimonial</t>
  </si>
  <si>
    <t>Ajuste de ejercicios anteriore</t>
  </si>
  <si>
    <t>SALDO NETO DE CONSOLIDACIÓN EN CUENTAS</t>
  </si>
  <si>
    <t>DE RESULTADO (DB) (6)*</t>
  </si>
  <si>
    <t>OTROS GASTOS (7)</t>
  </si>
  <si>
    <t>Pérdida por el método de participación patrimonial</t>
  </si>
  <si>
    <t>Ajussted de ejercicios anteriores</t>
  </si>
  <si>
    <t>EXCEDENTE (DÉFICIT) ANTES DE AJUSTES POR INFLACIÓN (8)</t>
  </si>
  <si>
    <t>EFECTO NETO POR EXPOSICIÓN A LA INFLACIÓN (9)</t>
  </si>
  <si>
    <t>Corrección monetaria</t>
  </si>
  <si>
    <t>PARTICIPACIÓN DEL INTERÉS MINORITARIO EN</t>
  </si>
  <si>
    <t>LOS RESULTADOS (10) *</t>
  </si>
  <si>
    <t>EXCEDENTE (DEFICIT) DEL EJERCICIO (11)</t>
  </si>
  <si>
    <t xml:space="preserve">    NOHEMY ARIAS OTERO</t>
  </si>
  <si>
    <t>Ministra de Educación Nacional</t>
  </si>
  <si>
    <t xml:space="preserve">  </t>
  </si>
  <si>
    <t xml:space="preserve">    Secretaria General</t>
  </si>
  <si>
    <t>Provisiones, agotamiento, amortización</t>
  </si>
  <si>
    <t>ALCALDIA MUNICIPAL DE  EL COLEGIO</t>
  </si>
  <si>
    <t>214718247</t>
  </si>
  <si>
    <t>ALCALDIA MUNICIPAL DE  EL DONCELLO</t>
  </si>
  <si>
    <t>ALCALDIA MUNICIPAL DE  EL DORADO</t>
  </si>
  <si>
    <t>214815248</t>
  </si>
  <si>
    <t>ALCALDIA MUNICIPAL DE  EL ESPINO</t>
  </si>
  <si>
    <t>214813248</t>
  </si>
  <si>
    <t>ALCALDIA MUNICIPAL DE  EL GUAMO</t>
  </si>
  <si>
    <t>215618256</t>
  </si>
  <si>
    <t>ALCALDIA MUNICIPAL DE  EL PAUJIL</t>
  </si>
  <si>
    <t>ALCALDIA MUNICIPAL DE  EL PEÑON</t>
  </si>
  <si>
    <t>ALCALDIA MUNICIPAL DE  EL PIÑON</t>
  </si>
  <si>
    <t>215568255</t>
  </si>
  <si>
    <t>ALCALDIA MUNICIPAL DE  EL PLAYON</t>
  </si>
  <si>
    <t>ALCALDIA MUNICIPAL DE  EL RETORNO</t>
  </si>
  <si>
    <t>216025260</t>
  </si>
  <si>
    <t>ALCALDIA MUNICIPAL DE  EL ROSAL</t>
  </si>
  <si>
    <t>219705697</t>
  </si>
  <si>
    <t>ALCALDIA MUNICIPAL DE  EL SANTUARIO</t>
  </si>
  <si>
    <t>ALCALDIA MUNICIPAL DE  EL TABLON DE GOMEZ</t>
  </si>
  <si>
    <t>ALCALDIA MUNICIPAL DE  EL TAMBO</t>
  </si>
  <si>
    <t>ALCALDIA MUNICIPAL DE  EL ZULIA</t>
  </si>
  <si>
    <t>ALCALDIA MUNICIPAL DE  ELIAS</t>
  </si>
  <si>
    <t>216468264</t>
  </si>
  <si>
    <t>ALCALDIA MUNICIPAL DE  ENCINO</t>
  </si>
  <si>
    <t>216668266</t>
  </si>
  <si>
    <t>ALCALDIA MUNICIPAL DE  ENCISO</t>
  </si>
  <si>
    <t>216405264</t>
  </si>
  <si>
    <t>ALCALDIA MUNICIPAL DE  ENTRERRIOS</t>
  </si>
  <si>
    <t>216605266</t>
  </si>
  <si>
    <t>ALCALDIA MUNICIPAL DE  ENVIGADO</t>
  </si>
  <si>
    <t>ALCALDIA MUNICIPAL DE  ESPINAL</t>
  </si>
  <si>
    <t>216925269</t>
  </si>
  <si>
    <t>ALCALDIA MUNICIPAL DE  FACATATIVA</t>
  </si>
  <si>
    <t>ALCALDIA MUNICIPAL DE  FALAN</t>
  </si>
  <si>
    <t>ALCALDIA MUNICIPAL DE  FILADELFIA</t>
  </si>
  <si>
    <t>ALCALDIA MUNICIPAL DE  FILANDIA</t>
  </si>
  <si>
    <t>217215272</t>
  </si>
  <si>
    <t>ALCALDIA MUNICIPAL DE  FIRAVITOBA</t>
  </si>
  <si>
    <t>ALCALDIA MUNICIPAL DE  FLANDES</t>
  </si>
  <si>
    <t>ALCALDIA MUNICIPAL DE  FLORENCIA (CAQUETA)</t>
  </si>
  <si>
    <t>217168271</t>
  </si>
  <si>
    <t>ALCALDIA MUNICIPAL DE  FLORIAN</t>
  </si>
  <si>
    <t>ALCALDIA MUNICIPAL DE  FLORIDA</t>
  </si>
  <si>
    <t>217668276</t>
  </si>
  <si>
    <t>ALCALDIA MUNICIPAL DE  FLORIDABLANCA</t>
  </si>
  <si>
    <t>217925279</t>
  </si>
  <si>
    <t>ALCALDIA MUNICIPAL DE  FOMEQUE</t>
  </si>
  <si>
    <t>ALCALDIA MUNICIPAL DE  FORTUL</t>
  </si>
  <si>
    <t>ALCALDIA MUNICIPAL DE  FOSCA</t>
  </si>
  <si>
    <t>218205282</t>
  </si>
  <si>
    <t>ALCALDIA MUNICIPAL DE  FREDONIA</t>
  </si>
  <si>
    <t>ALCALDIA MUNICIPAL DE  FRESNO</t>
  </si>
  <si>
    <t>218405284</t>
  </si>
  <si>
    <t>ALCALDIA MUNICIPAL DE  FRONTINO</t>
  </si>
  <si>
    <t>ALCALDIA MUNICIPAL DE  FUENTE DE ORO</t>
  </si>
  <si>
    <t>ALCALDIA MUNICIPAL DE  FUNDACION</t>
  </si>
  <si>
    <t>218625286</t>
  </si>
  <si>
    <t>ALCALDIA MUNICIPAL DE  FUNZA</t>
  </si>
  <si>
    <t>218825288</t>
  </si>
  <si>
    <t>ALCALDIA MUNICIPAL DE  FUQUENE</t>
  </si>
  <si>
    <t>219025290</t>
  </si>
  <si>
    <t>ALCALDIA MUNICIPAL DE  FUSAGASUGA</t>
  </si>
  <si>
    <t>219325293</t>
  </si>
  <si>
    <t>ALCALDIA MUNICIPAL DE  GACHALA</t>
  </si>
  <si>
    <t>ALCALDIA MUNICIPAL DE  GACHANCIPA</t>
  </si>
  <si>
    <t>219315293</t>
  </si>
  <si>
    <t>ALCALDIA MUNICIPAL DE  GACHANTIVA</t>
  </si>
  <si>
    <t>219725297</t>
  </si>
  <si>
    <t>ALCALDIA MUNICIPAL DE  GACHETA</t>
  </si>
  <si>
    <t>219668296</t>
  </si>
  <si>
    <t>ALCALDIA MUNICIPAL DE  GALAN</t>
  </si>
  <si>
    <t>219925299</t>
  </si>
  <si>
    <t>ALCALDIA MUNICIPAL DE  GAMA</t>
  </si>
  <si>
    <t>219868298</t>
  </si>
  <si>
    <t>ALCALDIA MUNICIPAL DE  GAMBITA</t>
  </si>
  <si>
    <t>219615296</t>
  </si>
  <si>
    <t>ALCALDIA MUNICIPAL DE  GAMEZA</t>
  </si>
  <si>
    <t>219915299</t>
  </si>
  <si>
    <t>ALCALDIA MUNICIPAL DE  GARAGOA</t>
  </si>
  <si>
    <t>219841298</t>
  </si>
  <si>
    <t>ALCALDIA MUNICIPAL DE  GARZON</t>
  </si>
  <si>
    <t>ALCALDIA MUNICIPAL DE  GENOVA</t>
  </si>
  <si>
    <t>210641306</t>
  </si>
  <si>
    <t>ALCALDIA MUNICIPAL DE  GIGANTE</t>
  </si>
  <si>
    <t>ALCALDIA MUNICIPAL DE  GINEBRA</t>
  </si>
  <si>
    <t>210605306</t>
  </si>
  <si>
    <t>ALCALDIA MUNICIPAL DE  GIRALDO</t>
  </si>
  <si>
    <t>210725307</t>
  </si>
  <si>
    <t>ALCALDIA MUNICIPAL DE  GIRARDOT</t>
  </si>
  <si>
    <t>210805308</t>
  </si>
  <si>
    <t>ALCALDIA MUNICIPAL DE  GIRARDOTA</t>
  </si>
  <si>
    <t>210768307</t>
  </si>
  <si>
    <t>ALCALDIA MUNICIPAL DE  GIRON</t>
  </si>
  <si>
    <t>ALCALDIA MUNICIPAL DE  GOMEZ PLATA</t>
  </si>
  <si>
    <t>ALCALDIA MUNICIPAL DE  GRAMALOTE</t>
  </si>
  <si>
    <t>ALCALDIA MUNICIPAL DE  GRANADA</t>
  </si>
  <si>
    <t>211868318</t>
  </si>
  <si>
    <t>ALCALDIA MUNICIPAL DE  GUACA</t>
  </si>
  <si>
    <t>214568245</t>
  </si>
  <si>
    <t>ALCALDIA MUNICIPAL DE  GUACAMAYAS</t>
  </si>
  <si>
    <t>211725317</t>
  </si>
  <si>
    <t>ALCALDIA MUNICIPAL DE  GUACHETA</t>
  </si>
  <si>
    <t>ALCALDIA MUNICIPAL DE  GUACHUCAL</t>
  </si>
  <si>
    <t>211505315</t>
  </si>
  <si>
    <t>ALCALDIA MUNICIPAL DE  GUADALUPE</t>
  </si>
  <si>
    <t>211941319</t>
  </si>
  <si>
    <t>ALCALDIA MUNICIPAL DE  GUADALUPE (HUILA)</t>
  </si>
  <si>
    <t>212068320</t>
  </si>
  <si>
    <t>ALCALDIA MUNICIPAL DE  GUADALUPE (SANTANDER)</t>
  </si>
  <si>
    <t>212025320</t>
  </si>
  <si>
    <t>ALCALDIA MUNICIPAL DE  GUADUAS</t>
  </si>
  <si>
    <t>ALCALDIA MUNICIPAL DE  GUAMAL</t>
  </si>
  <si>
    <t>ALCALDIA MUNICIPAL DE  GUAMO</t>
  </si>
  <si>
    <t>ALCALDIA MUNICIPAL DE  GUAPOTA</t>
  </si>
  <si>
    <t>211805318</t>
  </si>
  <si>
    <t>ALCALDIA MUNICIPAL DE  GUARNE</t>
  </si>
  <si>
    <t>ALCALDIA MUNICIPAL DE  GUASCA</t>
  </si>
  <si>
    <t>212105321</t>
  </si>
  <si>
    <t>ALCALDIA MUNICIPAL DE  GUATAPE</t>
  </si>
  <si>
    <t>212625326</t>
  </si>
  <si>
    <t>ALCALDIA MUNICIPAL DE  GUATAVITA</t>
  </si>
  <si>
    <t>212215322</t>
  </si>
  <si>
    <t>ALCALDIA MUNICIPAL DE  GUATEQUE</t>
  </si>
  <si>
    <t>ALCALDIA MUNICIPAL DE  GUATICA</t>
  </si>
  <si>
    <t>212468324</t>
  </si>
  <si>
    <t>ALCALDIA MUNICIPAL DE  GUAVATA</t>
  </si>
  <si>
    <t>ALCALDIA MUNICIPAL DE  GUAYABAL DE SIQUIMA</t>
  </si>
  <si>
    <t>213525335</t>
  </si>
  <si>
    <t>ALCALDIA MUNICIPAL DE  GUAYABETAL</t>
  </si>
  <si>
    <t>212515325</t>
  </si>
  <si>
    <t>ALCALDIA MUNICIPAL DE  GUAYATA</t>
  </si>
  <si>
    <t>ALCALDIA MUNICIPAL DE  GÜEPSA</t>
  </si>
  <si>
    <t>ALCALDIA MUNICIPAL DE  GÜICAN</t>
  </si>
  <si>
    <t>210013300</t>
  </si>
  <si>
    <t>ALCALDIA MUNICIPAL DE  HATILLO DE LOBA</t>
  </si>
  <si>
    <t>214468344</t>
  </si>
  <si>
    <t>ALCALDIA MUNICIPAL DE  HATO</t>
  </si>
  <si>
    <t>ALCALDIA MUNICIPAL DE  HATO COROZAL</t>
  </si>
  <si>
    <t>ALCALDIA MUNICIPAL DE  HERRAN</t>
  </si>
  <si>
    <t>ALCALDIA MUNICIPAL DE  HERVEO</t>
  </si>
  <si>
    <t>ALCALDIA MUNICIPAL DE  HONDA</t>
  </si>
  <si>
    <t>ALCALDIA MUNICIPAL DE  IBAGUE</t>
  </si>
  <si>
    <t>ALCALDIA MUNICIPAL DE  ICONONZO</t>
  </si>
  <si>
    <t>ALCALDIA MUNICIPAL DE  INZA</t>
  </si>
  <si>
    <t>215741357</t>
  </si>
  <si>
    <t>ALCALDIA MUNICIPAL DE  IQUIRA</t>
  </si>
  <si>
    <t>215941359</t>
  </si>
  <si>
    <t>ALCALDIA MUNICIPAL DE  ISNOS</t>
  </si>
  <si>
    <t>ALCALDIA MUNICIPAL DE  ISTMINA</t>
  </si>
  <si>
    <t>ALCALDIA MUNICIPAL DE  ITAGUI</t>
  </si>
  <si>
    <t>ALCALDIA MUNICIPAL DE  JAMUNDI</t>
  </si>
  <si>
    <t>216405364</t>
  </si>
  <si>
    <t>ALCALDIA MUNICIPAL DE  JARDIN</t>
  </si>
  <si>
    <t>216715367</t>
  </si>
  <si>
    <t>ALCALDIA MUNICIPAL DE  JENESANO</t>
  </si>
  <si>
    <t>216815368</t>
  </si>
  <si>
    <t>ALCALDIA MUNICIPAL DE  JERICO (BOYACA)</t>
  </si>
  <si>
    <t>216825368</t>
  </si>
  <si>
    <t>ALCALDIA MUNICIPAL DE  JERUSALEN</t>
  </si>
  <si>
    <t>216868368</t>
  </si>
  <si>
    <t>ALCALDIA MUNICIPAL DE  JESUS MARIA</t>
  </si>
  <si>
    <t>217068370</t>
  </si>
  <si>
    <t>ALCALDIA MUNICIPAL DE  JORDAN</t>
  </si>
  <si>
    <t>217208372</t>
  </si>
  <si>
    <t>ALCALDIA MUNICIPAL DE  JUAN DE ACOSTA</t>
  </si>
  <si>
    <t>217225372</t>
  </si>
  <si>
    <t>ALCALDIA MUNICIPAL DE  JUNIN</t>
  </si>
  <si>
    <t>215023350</t>
  </si>
  <si>
    <t>ALCALDIA MUNICIPAL DE  LA APARTADA</t>
  </si>
  <si>
    <t>217841378</t>
  </si>
  <si>
    <t>ALCALDIA MUNICIPAL DE  LA ARGENTINA</t>
  </si>
  <si>
    <t>217768377</t>
  </si>
  <si>
    <t>ALCALDIA MUNICIPAL DE  LA BELLEZA</t>
  </si>
  <si>
    <t>217725377</t>
  </si>
  <si>
    <t>ALCALDIA MUNICIPAL DE  LA CALERA</t>
  </si>
  <si>
    <t>ALCALDIA MUNICIPAL DE  LA CAPILLA</t>
  </si>
  <si>
    <t>ALCALDIA MUNICIPAL DE  LA CEJA</t>
  </si>
  <si>
    <t>ALCALDIA MUNICIPAL DE  LA CELIA</t>
  </si>
  <si>
    <t>ALCALDIA MUNICIPAL DE  LA DORADA</t>
  </si>
  <si>
    <t>218005380</t>
  </si>
  <si>
    <t>ALCALDIA MUNICIPAL DE  LA ESTRELLA</t>
  </si>
  <si>
    <t>ALCALDIA MUNICIPAL DE  LA LLANADA</t>
  </si>
  <si>
    <t>ALCALDIA MUNICIPAL DE  LA MACARENA</t>
  </si>
  <si>
    <t>ALCALDIA MUNICIPAL DE  LA MERCED</t>
  </si>
  <si>
    <t>218625386</t>
  </si>
  <si>
    <t>ALCALDIA MUNICIPAL DE  LA MESA</t>
  </si>
  <si>
    <t>219425394</t>
  </si>
  <si>
    <t>ALCALDIA MUNICIPAL DE  LA PALMA</t>
  </si>
  <si>
    <t>212120621</t>
  </si>
  <si>
    <t>ALCALDIA MUNICIPAL DE  LA PAZ</t>
  </si>
  <si>
    <t>219825398</t>
  </si>
  <si>
    <t>ALCALDIA MUNICIPAL DE  LA PEÑA</t>
  </si>
  <si>
    <t>219005390</t>
  </si>
  <si>
    <t>ALCALDIA MUNICIPAL DE  LA PINTADA</t>
  </si>
  <si>
    <t>219641396</t>
  </si>
  <si>
    <t>ALCALDIA MUNICIPAL DE  LA PLATA</t>
  </si>
  <si>
    <t>ALCALDIA MUNICIPAL DE  LA PLAYA</t>
  </si>
  <si>
    <t>ALCALDIA MUNICIPAL DE  LA PRIMAVERA</t>
  </si>
  <si>
    <t>ALCALDIA MUNICIPAL DE  LA SIERRA</t>
  </si>
  <si>
    <t>ALCALDIA MUNICIPAL DE  LA TEBAIDA</t>
  </si>
  <si>
    <t>ALCALDIA MUNICIPAL DE  LA UNION (ANTIOQUIA)</t>
  </si>
  <si>
    <t>ALCALDIA MUNICIPAL DE  LA UNION (NARIÑO)</t>
  </si>
  <si>
    <t>ALCALDIA MUNICIPAL DE  LA UNION (SUCRE)</t>
  </si>
  <si>
    <t>210005400</t>
  </si>
  <si>
    <t>ALCALDIA MUNICIPAL DE  LA UNION (VALLE DEL CAUCA)</t>
  </si>
  <si>
    <t>210315403</t>
  </si>
  <si>
    <t>ALCALDIA MUNICIPAL DE  LA UVITA</t>
  </si>
  <si>
    <t>ALCALDIA MUNICIPAL DE  LA VEGA</t>
  </si>
  <si>
    <t>210115401</t>
  </si>
  <si>
    <t>ALCALDIA MUNICIPAL DE  LA VICTORIA (BOYACA)</t>
  </si>
  <si>
    <t>ALCALDIA MUNICIPAL DE  LA VICTORIA (VALLE DEL CAUCA)</t>
  </si>
  <si>
    <t>ALCALDIA MUNICIPAL DE  LA VIRGINIA</t>
  </si>
  <si>
    <t>217715377</t>
  </si>
  <si>
    <t>ALCALDIA MUNICIPAL DE  LABRANZAGRANDE</t>
  </si>
  <si>
    <t>ALCALDIA MUNICIPAL DE  LANDAZURI</t>
  </si>
  <si>
    <t>ALCALDIA MUNICIPAL DE  LEBRIJA</t>
  </si>
  <si>
    <t>ALCALDIA MUNICIPAL DE  LEJANIAS</t>
  </si>
  <si>
    <t>210725407</t>
  </si>
  <si>
    <t>ALCALDIA MUNICIPAL DE  LENGUAZAQUE</t>
  </si>
  <si>
    <t>ALCALDIA MUNICIPAL DE  LERIDA</t>
  </si>
  <si>
    <t>ALCALDIA MUNICIPAL DE  LETICIA</t>
  </si>
  <si>
    <t>ALCALDIA MUNICIPAL DE  LIBANO</t>
  </si>
  <si>
    <t>211723417</t>
  </si>
  <si>
    <t>ALCALDIA MUNICIPAL DE  LORICA</t>
  </si>
  <si>
    <t>211868418</t>
  </si>
  <si>
    <t>ALCALDIA MUNICIPAL DE  LOS SANTOS</t>
  </si>
  <si>
    <t>212515425</t>
  </si>
  <si>
    <t>ALCALDIA MUNICIPAL DE  MACANAL</t>
  </si>
  <si>
    <t>212568425</t>
  </si>
  <si>
    <t>ALCALDIA MUNICIPAL DE  MACARAVITA</t>
  </si>
  <si>
    <t>212505425</t>
  </si>
  <si>
    <t>ALCALDIA MUNICIPAL DE  MACEO</t>
  </si>
  <si>
    <t>213025430</t>
  </si>
  <si>
    <t>ALCALDIA MUNICIPAL DE  MADRID</t>
  </si>
  <si>
    <t>213013430</t>
  </si>
  <si>
    <t>ALCALDIA MUNICIPAL DE  MAGANGUE</t>
  </si>
  <si>
    <t>ALCALDIA MUNICIPAL DE  MAGÜI</t>
  </si>
  <si>
    <t>213313433</t>
  </si>
  <si>
    <t>ALCALDIA MUNICIPAL DE  MAHATES</t>
  </si>
  <si>
    <t>213268432</t>
  </si>
  <si>
    <t>ALCALDIA MUNICIPAL DE  MALAGA</t>
  </si>
  <si>
    <t>ALCALDIA MUNICIPAL DE  MALLAMA</t>
  </si>
  <si>
    <t>ALCALDIA MUNICIPAL DE  MANI</t>
  </si>
  <si>
    <t>210117001</t>
  </si>
  <si>
    <t>ALCALDIA MUNICIPAL DE  MANIZALES</t>
  </si>
  <si>
    <t>213625436</t>
  </si>
  <si>
    <t>ALCALDIA MUNICIPAL DE  MANTA</t>
  </si>
  <si>
    <t>ALCALDIA MUNICIPAL DE  MANZANARES</t>
  </si>
  <si>
    <t>ALCALDIA MUNICIPAL DE  MAPIRIPAN</t>
  </si>
  <si>
    <t>214213442</t>
  </si>
  <si>
    <t>ALCALDIA MUNICIPAL DE  MARIA LA BAJA</t>
  </si>
  <si>
    <t>214005440</t>
  </si>
  <si>
    <t>ALCALDIA MUNICIPAL DE  MARINILLA</t>
  </si>
  <si>
    <t>ALCALDIA MUNICIPAL DE  MARIQUITA</t>
  </si>
  <si>
    <t>ALCALDIA MUNICIPAL DE  MARQUETALIA</t>
  </si>
  <si>
    <t>ALCALDIA MUNICIPAL DE  MARSELLA</t>
  </si>
  <si>
    <t>ALCALDIA MUNICIPAL DE  MARULANDA</t>
  </si>
  <si>
    <t>214468444</t>
  </si>
  <si>
    <t>ALCALDIA MUNICIPAL DE  MATANZA</t>
  </si>
  <si>
    <t>210105001</t>
  </si>
  <si>
    <t>ALCALDIA MUNICIPAL DE  MEDELLIN</t>
  </si>
  <si>
    <t>213825438</t>
  </si>
  <si>
    <t>ALCALDIA MUNICIPAL DE  MEDINA</t>
  </si>
  <si>
    <t>ALCALDIA MUNICIPAL DE  MEDIO BAUDO</t>
  </si>
  <si>
    <t>ALCALDIA MUNICIPAL DE  MELGAR</t>
  </si>
  <si>
    <t>ALCALDIA MUNICIPAL DE  MESETAS</t>
  </si>
  <si>
    <t>216018460</t>
  </si>
  <si>
    <t>ALCALDIA MUNICIPAL DE  MILAN</t>
  </si>
  <si>
    <t>ALCALDIA MUNICIPAL DE  MIRAFLORES (BOYACA)</t>
  </si>
  <si>
    <t>215515455</t>
  </si>
  <si>
    <t>ALCALDIA MUNICIPAL DE  MIRAFLORES (GUAVIARE)</t>
  </si>
  <si>
    <t>ALCALDIA MUNICIPAL DE  MIRANDA</t>
  </si>
  <si>
    <t>ALCALDIA MUNICIPAL DE  MISTRATO</t>
  </si>
  <si>
    <t>ALCALDIA MUNICIPAL DE  MITU</t>
  </si>
  <si>
    <t>ALCALDIA MUNICIPAL DE  MOCOA</t>
  </si>
  <si>
    <t>216468464</t>
  </si>
  <si>
    <t>ALCALDIA MUNICIPAL DE  MOGOTES</t>
  </si>
  <si>
    <t>216868468</t>
  </si>
  <si>
    <t>ALCALDIA MUNICIPAL DE  MOLAGAVITA</t>
  </si>
  <si>
    <t>ALCALDIA MUNICIPAL DE  MOMPOS</t>
  </si>
  <si>
    <t>216415464</t>
  </si>
  <si>
    <t>ALCALDIA MUNICIPAL DE  MONGUA</t>
  </si>
  <si>
    <t>216615466</t>
  </si>
  <si>
    <t>ALCALDIA MUNICIPAL DE  MONGUI</t>
  </si>
  <si>
    <t>216915469</t>
  </si>
  <si>
    <t>ALCALDIA MUNICIPAL DE  MONIQUIRA</t>
  </si>
  <si>
    <t>216705467</t>
  </si>
  <si>
    <t>ALCALDIA MUNICIPAL DE  MONTEBELLO</t>
  </si>
  <si>
    <t>ALCALDIA MUNICIPAL DE  MONTENEGRO</t>
  </si>
  <si>
    <t>ALCALDIA MUNICIPAL DE  MONTERIA</t>
  </si>
  <si>
    <t>ALCALDIA MUNICIPAL DE  MONTERREY</t>
  </si>
  <si>
    <t>ALCALDIA MUNICIPAL DE  MORALES</t>
  </si>
  <si>
    <t>217918479</t>
  </si>
  <si>
    <t>ALCALDIA MUNICIPAL DE  MORELIA</t>
  </si>
  <si>
    <t>ALCALDIA MUNICIPAL DE  MOSQUERA (CUNDINAMARCA)</t>
  </si>
  <si>
    <t>ALCALDIA MUNICIPAL DE  MOTAVITA</t>
  </si>
  <si>
    <t>ALCALDIA MUNICIPAL DE  MURILLO</t>
  </si>
  <si>
    <t>218005480</t>
  </si>
  <si>
    <t>ALCALDIA MUNICIPAL DE  MUTATA</t>
  </si>
  <si>
    <t>ALCALDIA MUNICIPAL DE  MUTISCUA</t>
  </si>
  <si>
    <t>218015480</t>
  </si>
  <si>
    <t>ALCALDIA MUNICIPAL DE  MUZO</t>
  </si>
  <si>
    <t>218305483</t>
  </si>
  <si>
    <t>ALCALDIA MUNICIPAL DE  NARIÑO</t>
  </si>
  <si>
    <t>ALCALDIA MUNICIPAL DE  NATAGA</t>
  </si>
  <si>
    <t>ALCALDIA MUNICIPAL DE  NATAGAIMA</t>
  </si>
  <si>
    <t>ALCALDIA MUNICIPAL DE  NEIRA</t>
  </si>
  <si>
    <t>210141001</t>
  </si>
  <si>
    <t>ALCALDIA MUNICIPAL DE  NEIVA</t>
  </si>
  <si>
    <t>ALCALDIA MUNICIPAL DE  SANTIAGO</t>
  </si>
  <si>
    <t>219005690</t>
  </si>
  <si>
    <t>ALCALDIA MUNICIPAL DE  SANTO DOMINGO</t>
  </si>
  <si>
    <t>ALCALDIA MUNICIPAL DE  SANTO TOMAS</t>
  </si>
  <si>
    <t>ALCALDIA MUNICIPAL DE  SANTUARIO</t>
  </si>
  <si>
    <t>ALCALDIA MUNICIPAL DE  SARAVENA</t>
  </si>
  <si>
    <t>ALCALDIA MUNICIPAL DE  SARDINATA</t>
  </si>
  <si>
    <t>211825718</t>
  </si>
  <si>
    <t>ALCALDIA MUNICIPAL DE  SASAIMA</t>
  </si>
  <si>
    <t>ALCALDIA MUNICIPAL DE  SATIVANORTE</t>
  </si>
  <si>
    <t>ALCALDIA MUNICIPAL DE  SATIVASUR</t>
  </si>
  <si>
    <t>213625736</t>
  </si>
  <si>
    <t>ALCALDIA MUNICIPAL DE  SESQUILE</t>
  </si>
  <si>
    <t>ALCALDIA MUNICIPAL DE  SEVILLA</t>
  </si>
  <si>
    <t>ALCALDIA MUNICIPAL DE  SIACHOQUE</t>
  </si>
  <si>
    <t>214025740</t>
  </si>
  <si>
    <t>ALCALDIA MUNICIPAL DE  SIBATE</t>
  </si>
  <si>
    <t>ALCALDIA MUNICIPAL DE  SIBUNDOY</t>
  </si>
  <si>
    <t>ALCALDIA MUNICIPAL DE  SILOS</t>
  </si>
  <si>
    <t>214325743</t>
  </si>
  <si>
    <t>ALCALDIA MUNICIPAL DE  SILVANIA</t>
  </si>
  <si>
    <t>ALCALDIA MUNICIPAL DE  SILVIA</t>
  </si>
  <si>
    <t>214568745</t>
  </si>
  <si>
    <t>ALCALDIA MUNICIPAL DE  SIMACOTA</t>
  </si>
  <si>
    <t>214525745</t>
  </si>
  <si>
    <t>ALCALDIA MUNICIPAL DE  SIMIJACA</t>
  </si>
  <si>
    <t>214413744</t>
  </si>
  <si>
    <t>ALCALDIA MUNICIPAL DE  SIMITI</t>
  </si>
  <si>
    <t>ALCALDIA MUNICIPAL DE  SINCELEJO</t>
  </si>
  <si>
    <t>215425754</t>
  </si>
  <si>
    <t>ALCALDIA MUNICIPAL DE  SOACHA</t>
  </si>
  <si>
    <t>ALCALDIA MUNICIPAL DE  SOATA</t>
  </si>
  <si>
    <t>ALCALDIA MUNICIPAL DE  SOCHA</t>
  </si>
  <si>
    <t>ALCALDIA MUNICIPAL DE  SOCOTA</t>
  </si>
  <si>
    <t>ALCALDIA MUNICIPAL DE  SOGAMOSO</t>
  </si>
  <si>
    <t>ALCALDIA MUNICIPAL DE  SOLANO</t>
  </si>
  <si>
    <t>215808758</t>
  </si>
  <si>
    <t>ALCALDIA MUNICIPAL DE  SOLEDAD</t>
  </si>
  <si>
    <t>ALCALDIA MUNICIPAL DE  SOLITA</t>
  </si>
  <si>
    <t>ALCALDIA MUNICIPAL DE  SOMONDOCO</t>
  </si>
  <si>
    <t>215605756</t>
  </si>
  <si>
    <t>ALCALDIA MUNICIPAL DE  SONSON</t>
  </si>
  <si>
    <t>216013760</t>
  </si>
  <si>
    <t>ALCALDIA MUNICIPAL DE  SOPLAVIENTO</t>
  </si>
  <si>
    <t>215825758</t>
  </si>
  <si>
    <t>ALCALDIA MUNICIPAL DE  SOPO</t>
  </si>
  <si>
    <t>ALCALDIA MUNICIPAL DE  SORA</t>
  </si>
  <si>
    <t>ALCALDIA MUNICIPAL DE  SORACA</t>
  </si>
  <si>
    <t>ALCALDIA MUNICIPAL DE  SOTAQUIRA</t>
  </si>
  <si>
    <t>ALCALDIA MUNICIPAL DE  SOTARA</t>
  </si>
  <si>
    <t>217068770</t>
  </si>
  <si>
    <t>ALCALDIA MUNICIPAL DE  SUAITA</t>
  </si>
  <si>
    <t>217008770</t>
  </si>
  <si>
    <t>ALCALDIA MUNICIPAL DE  SUAN</t>
  </si>
  <si>
    <t>ALCALDIA MUNICIPAL DE  SUAREZ</t>
  </si>
  <si>
    <t>216925769</t>
  </si>
  <si>
    <t>ALCALDIA MUNICIPAL DE  SUBACHOQUE</t>
  </si>
  <si>
    <t>ALCALDIA MUNICIPAL DE  SUCRE</t>
  </si>
  <si>
    <t>217225772</t>
  </si>
  <si>
    <t>ALCALDIA MUNICIPAL DE  SUESCA</t>
  </si>
  <si>
    <t>217725777</t>
  </si>
  <si>
    <t>ALCALDIA MUNICIPAL DE  SUPATA</t>
  </si>
  <si>
    <t>ALCALDIA MUNICIPAL DE  SUPIA</t>
  </si>
  <si>
    <t>218068780</t>
  </si>
  <si>
    <t>ALCALDIA MUNICIPAL DE  SURATA</t>
  </si>
  <si>
    <t>ALCALDIA MUNICIPAL DE  SUSACON</t>
  </si>
  <si>
    <t>ALCALDIA MUNICIPAL DE  SUTAMARCHAN</t>
  </si>
  <si>
    <t>218125781</t>
  </si>
  <si>
    <t>ALCALDIA MUNICIPAL DE  SUTATAUSA</t>
  </si>
  <si>
    <t>ALCALDIA MUNICIPAL DE  SUTATENZA</t>
  </si>
  <si>
    <t>218525785</t>
  </si>
  <si>
    <t>ALCALDIA MUNICIPAL DE  TABIO</t>
  </si>
  <si>
    <t>218727787</t>
  </si>
  <si>
    <t>ALCALDIA MUNICIPAL DE  TADO</t>
  </si>
  <si>
    <t>218013780</t>
  </si>
  <si>
    <t>ALCALDIA MUNICIPAL DE  TALAIGUA NUEVO</t>
  </si>
  <si>
    <t>ALCALDIA MUNICIPAL DE  TAMARA</t>
  </si>
  <si>
    <t>ALCALDIA MUNICIPAL DE  TARAIRA</t>
  </si>
  <si>
    <t>ALCALDIA MUNICIPAL DE  TARAZA</t>
  </si>
  <si>
    <t>ALCALDIA MUNICIPAL DE  TARQUI</t>
  </si>
  <si>
    <t>219205792</t>
  </si>
  <si>
    <t>ALCALDIA MUNICIPAL DE  TARSO</t>
  </si>
  <si>
    <t>ALCALDIA MUNICIPAL DE  TASCO</t>
  </si>
  <si>
    <t>ALCALDIA MUNICIPAL DE  TAURAMENA</t>
  </si>
  <si>
    <t>219325793</t>
  </si>
  <si>
    <t>ALCALDIA MUNICIPAL DE  TAUSA</t>
  </si>
  <si>
    <t>219941799</t>
  </si>
  <si>
    <t>ALCALDIA MUNICIPAL DE  TELLO</t>
  </si>
  <si>
    <t>ALCALDIA MUNICIPAL DE  TENERIFE</t>
  </si>
  <si>
    <t>219925799</t>
  </si>
  <si>
    <t>ALCALDIA MUNICIPAL DE  TENJO</t>
  </si>
  <si>
    <t>ALCALDIA MUNICIPAL DE  TENZA</t>
  </si>
  <si>
    <t>210141801</t>
  </si>
  <si>
    <t>ALCALDIA MUNICIPAL DE  TERUEL</t>
  </si>
  <si>
    <t>219741797</t>
  </si>
  <si>
    <t>ALCALDIA MUNICIPAL DE  TESALIA</t>
  </si>
  <si>
    <t>210525805</t>
  </si>
  <si>
    <t>ALCALDIA MUNICIPAL DE  TIBACUY</t>
  </si>
  <si>
    <t>ALCALDIA MUNICIPAL DE  TIBANA</t>
  </si>
  <si>
    <t>ALCALDIA MUNICIPAL DE  TIBASOSA</t>
  </si>
  <si>
    <t>210725807</t>
  </si>
  <si>
    <t>ALCALDIA MUNICIPAL DE  TIBIRITA</t>
  </si>
  <si>
    <t>ALCALDIA MUNICIPAL DE  TIBU</t>
  </si>
  <si>
    <t>210723807</t>
  </si>
  <si>
    <t>ALCALDIA MUNICIPAL DE  TIERRALTA</t>
  </si>
  <si>
    <t>210741807</t>
  </si>
  <si>
    <t>ALCALDIA MUNICIPAL DE  TIMANA</t>
  </si>
  <si>
    <t>ALCALDIA MUNICIPAL DE  TINJACA</t>
  </si>
  <si>
    <t>ALCALDIA MUNICIPAL DE  TIPACOQUE</t>
  </si>
  <si>
    <t>210905809</t>
  </si>
  <si>
    <t>ALCALDIA MUNICIPAL DE  TITIRIBI</t>
  </si>
  <si>
    <t>ALCALDIA MUNICIPAL DE  TOCA</t>
  </si>
  <si>
    <t>211525815</t>
  </si>
  <si>
    <t>ALCALDIA MUNICIPAL DE  TOCAIMA</t>
  </si>
  <si>
    <t>211725817</t>
  </si>
  <si>
    <t>ALCALDIA MUNICIPAL DE  TOCANCIPA</t>
  </si>
  <si>
    <t>ALCALDIA MUNICIPAL DE  TOGÜI</t>
  </si>
  <si>
    <t>211905819</t>
  </si>
  <si>
    <t>ALCALDIA MUNICIPAL DE  TOLEDO</t>
  </si>
  <si>
    <t>212068820</t>
  </si>
  <si>
    <t>ALCALDIA MUNICIPAL DE  TONA</t>
  </si>
  <si>
    <t>ALCALDIA MUNICIPAL DE  TOPAGA</t>
  </si>
  <si>
    <t>ALCALDIA MUNICIPAL DE  TORIBIO</t>
  </si>
  <si>
    <t>ALCALDIA MUNICIPAL DE  TORO</t>
  </si>
  <si>
    <t>ALCALDIA MUNICIPAL DE  TOTA</t>
  </si>
  <si>
    <t>ALCALDIA MUNICIPAL DE  TRINIDAD</t>
  </si>
  <si>
    <t>ALCALDIA MUNICIPAL DE  TRUJILLO</t>
  </si>
  <si>
    <t>ALCALDIA MUNICIPAL DE  TULUA</t>
  </si>
  <si>
    <t>210115001</t>
  </si>
  <si>
    <t>ALCALDIA MUNICIPAL DE  TUNJA</t>
  </si>
  <si>
    <t>ALCALDIA MUNICIPAL DE  TUNUNGUA</t>
  </si>
  <si>
    <t>ALCALDIA MUNICIPAL DE  TUQUERRES</t>
  </si>
  <si>
    <t>213705837</t>
  </si>
  <si>
    <t>ALCALDIA MUNICIPAL DE  TURBO</t>
  </si>
  <si>
    <t>ALCALDIA MUNICIPAL DE  TURMEQUE</t>
  </si>
  <si>
    <t>ALCALDIA MUNICIPAL DE  TUTA</t>
  </si>
  <si>
    <t>ALCALDIA MUNICIPAL DE  TUTAZA</t>
  </si>
  <si>
    <t>213925839</t>
  </si>
  <si>
    <t>ALCALDIA MUNICIPAL DE  UBALA</t>
  </si>
  <si>
    <t>214125841</t>
  </si>
  <si>
    <t>ALCALDIA MUNICIPAL DE  UBAQUE</t>
  </si>
  <si>
    <t>ALCALDIA MUNICIPAL DE  ULLOA</t>
  </si>
  <si>
    <t>214525845</t>
  </si>
  <si>
    <t>ALCALDIA MUNICIPAL DE  UNE</t>
  </si>
  <si>
    <t>ALCALDIA MUNICIPAL DE  UNION PANAMERICANA</t>
  </si>
  <si>
    <t>214205842</t>
  </si>
  <si>
    <t>ALCALDIA MUNICIPAL DE  URAMITA</t>
  </si>
  <si>
    <t>214744847</t>
  </si>
  <si>
    <t>ALCALDIA MUNICIPAL DE  URIBE</t>
  </si>
  <si>
    <t>214705847</t>
  </si>
  <si>
    <t>ALCALDIA MUNICIPAL DE  URRAO</t>
  </si>
  <si>
    <t>214908849</t>
  </si>
  <si>
    <t>ALCALDIA MUNICIPAL DE  USIACURI</t>
  </si>
  <si>
    <t>215125851</t>
  </si>
  <si>
    <t>ALCALDIA MUNICIPAL DE  UTICA</t>
  </si>
  <si>
    <t>215405854</t>
  </si>
  <si>
    <t>ALCALDIA MUNICIPAL DE  VALDIVIA</t>
  </si>
  <si>
    <t>215523855</t>
  </si>
  <si>
    <t>ALCALDIA MUNICIPAL DE  VALENCIA</t>
  </si>
  <si>
    <t>ALCALDIA MUNICIPAL DE  VALLE DE SAN JOSE</t>
  </si>
  <si>
    <t>ALCALDIA MUNICIPAL DE  VALLE DEL GUAMUEZ</t>
  </si>
  <si>
    <t>210120001</t>
  </si>
  <si>
    <t>ALCALDIA MUNICIPAL DE  VALLEDUPAR</t>
  </si>
  <si>
    <t>215605856</t>
  </si>
  <si>
    <t>ALCALDIA MUNICIPAL DE  VALPARAISO</t>
  </si>
  <si>
    <t>216168861</t>
  </si>
  <si>
    <t>ALCALDIA MUNICIPAL DE  VELEZ</t>
  </si>
  <si>
    <t>ALCALDIA MUNICIPAL DE  VENADILLO</t>
  </si>
  <si>
    <t>216105861</t>
  </si>
  <si>
    <t>ALCALDIA MUNICIPAL DE  VENECIA</t>
  </si>
  <si>
    <t>ALCALDIA MUNICIPAL DE  VENTAQUEMADA</t>
  </si>
  <si>
    <t>216225862</t>
  </si>
  <si>
    <t>ALCALDIA MUNICIPAL DE  VERGARA</t>
  </si>
  <si>
    <t>ALCALDIA MUNICIPAL DE  VERSALLES</t>
  </si>
  <si>
    <t>216768867</t>
  </si>
  <si>
    <t>ALCALDIA MUNICIPAL DE  VETAS</t>
  </si>
  <si>
    <t>216725867</t>
  </si>
  <si>
    <t>ALCALDIA MUNICIPAL DE  VIANI</t>
  </si>
  <si>
    <t>ALCALDIA MUNICIPAL DE  VICTORIA</t>
  </si>
  <si>
    <t>217305873</t>
  </si>
  <si>
    <t>ALCALDIA MUNICIPAL DE  VIGIA DEL FUERTE</t>
  </si>
  <si>
    <t>ALCALDIA MUNICIPAL DE  VIJES</t>
  </si>
  <si>
    <t>210715407</t>
  </si>
  <si>
    <t>ALCALDIA MUNICIPAL DE  VILLA DE LEYVA</t>
  </si>
  <si>
    <t>214325843</t>
  </si>
  <si>
    <t>ALCALDIA MUNICIPAL DE  VILLA DE SAN DIEGO DE UBATE</t>
  </si>
  <si>
    <t>ALCALDIA MUNICIPAL DE  VILLA DEL ROSARIO</t>
  </si>
  <si>
    <t>ALCALDIA MUNICIPAL DE  VILLA RICA (CAUCA)</t>
  </si>
  <si>
    <t>DEPARTAMENTO: CUNDINAMARCA</t>
  </si>
  <si>
    <t>Modelo: CGN-2005-001</t>
  </si>
  <si>
    <t>MUNICIPIO BOGOTA</t>
  </si>
  <si>
    <t>Consolidado</t>
  </si>
  <si>
    <t xml:space="preserve">ENTIDAD: MINISTERIO DE EDUCACION </t>
  </si>
  <si>
    <t>CODIGO: 011300000</t>
  </si>
  <si>
    <t>FECHA DE CORTE: 2006/12/31</t>
  </si>
  <si>
    <t>PERÍODO DE MOVIMIENTO: 1 de octubre al 31 de diciembre de 2006</t>
  </si>
  <si>
    <t>Cifras en Miles de pesos</t>
  </si>
  <si>
    <t>CONCEPTO</t>
  </si>
  <si>
    <t>SALDO A 30 DE SEPTIEMBRE DE 2006</t>
  </si>
  <si>
    <t xml:space="preserve">TOTAL MOVIMIENTOS </t>
  </si>
  <si>
    <t>SALDO A 31 DE DICIEMBRE DE 2006</t>
  </si>
  <si>
    <t>CORRIENTE</t>
  </si>
  <si>
    <t>NO CORRIENTE</t>
  </si>
  <si>
    <t>CODIGO CONTABLE</t>
  </si>
  <si>
    <t>NOMBRE</t>
  </si>
  <si>
    <t>DEBITO</t>
  </si>
  <si>
    <t>CREDITO</t>
  </si>
  <si>
    <t>ACTIVO</t>
  </si>
  <si>
    <t>EFECTIVO</t>
  </si>
  <si>
    <t>CAJA</t>
  </si>
  <si>
    <t>Caja Principal</t>
  </si>
  <si>
    <t>Caja Menor</t>
  </si>
  <si>
    <t>BANCOS Y CORPORACIONES</t>
  </si>
  <si>
    <t>Cuentas corrientes Bancarias</t>
  </si>
  <si>
    <t>Cuenta de Ahorro</t>
  </si>
  <si>
    <t>Otros Depositos</t>
  </si>
  <si>
    <t>FONDOS ESPECIALES</t>
  </si>
  <si>
    <t>Cuenta Corriente Bancaria</t>
  </si>
  <si>
    <t>Cuentas de ahorro de valor constante</t>
  </si>
  <si>
    <t>INVERSIONES</t>
  </si>
  <si>
    <t>INVERSIONES ADMON DE LIQUIDEZ RENTA FIJA</t>
  </si>
  <si>
    <t xml:space="preserve">Titulos de Tesorería TES  </t>
  </si>
  <si>
    <t>Certificados de Depósito a Término</t>
  </si>
  <si>
    <t>Bonos y títulos emitidos Gobierno Gral Nacional</t>
  </si>
  <si>
    <t>Otras Inversiones de renta fija</t>
  </si>
  <si>
    <t>INVERSIONES DE RENTA VARIABLE</t>
  </si>
  <si>
    <t>Otras Inversiones de renta Variable</t>
  </si>
  <si>
    <t>INVERSIONES PATRIMONIALES NO CONTROLABLES</t>
  </si>
  <si>
    <t>En Entidades Privadas</t>
  </si>
  <si>
    <t>INVERSIONES PATRIMONIALES CONTROLANTES</t>
  </si>
  <si>
    <t>En Sociedades de Economia Mixta</t>
  </si>
  <si>
    <t>En otras entidades de nivel territorial</t>
  </si>
  <si>
    <t>DEUDORES</t>
  </si>
  <si>
    <t>INGRESOS NO TRIBUTARIOS</t>
  </si>
  <si>
    <t>Tasas</t>
  </si>
  <si>
    <t>Multas</t>
  </si>
  <si>
    <t>Pliego de Licitación</t>
  </si>
  <si>
    <t>Otros deudores por ingresos no tributarios</t>
  </si>
  <si>
    <t>Escuelas Industriales e Institutos Técnicos</t>
  </si>
  <si>
    <t>Junta Central de Contadores</t>
  </si>
  <si>
    <t>Fondos Recursos Monitoreo y vigilancia Educación Superior</t>
  </si>
  <si>
    <t>CUENTAS POR COBRAR</t>
  </si>
  <si>
    <t>Servicios Educativos</t>
  </si>
  <si>
    <t>Otras Cuentas por Cobrar</t>
  </si>
  <si>
    <t>TRANSFERENCIAS POR COBRAR</t>
  </si>
  <si>
    <t>Transferencias corrientes gobierno general</t>
  </si>
  <si>
    <t>PRESTAMOS CONCEDIDOS</t>
  </si>
  <si>
    <t>Préstamos Educativos</t>
  </si>
  <si>
    <t>Otros prestamos concedidos</t>
  </si>
  <si>
    <t>AVANCES Y ANTICIPOS ENTREGADOS</t>
  </si>
  <si>
    <t>Anticipos sobre Convenios y Acuerdos</t>
  </si>
  <si>
    <t>Anticipos a entidades Oficiales</t>
  </si>
  <si>
    <t>Anticipos para Adquisición de Bienes y Servicios</t>
  </si>
  <si>
    <t>Anticipos para Proyectos de Inversión</t>
  </si>
  <si>
    <t>Otros Avances y Anticipos</t>
  </si>
  <si>
    <t>ANTICIPOS O SALDO A FAVOR POR IMPUESTOS</t>
  </si>
  <si>
    <t>Anticipo contribucion especial</t>
  </si>
  <si>
    <t>Impuestos de Industria y Comercio</t>
  </si>
  <si>
    <t>DEPOSITOS ENTREGADOS</t>
  </si>
  <si>
    <t>Depósitos Judiciales</t>
  </si>
  <si>
    <t>En administración</t>
  </si>
  <si>
    <t>OTROS DEUDORES</t>
  </si>
  <si>
    <t>Rendimiento de Inversion</t>
  </si>
  <si>
    <t>Arrendamientos</t>
  </si>
  <si>
    <t>Embargos judiciales</t>
  </si>
  <si>
    <t>Reclamaciones e Indeminizaciones a Otros Sectores</t>
  </si>
  <si>
    <t>Pago por cuentas de terceros</t>
  </si>
  <si>
    <t>Otros Deudores</t>
  </si>
  <si>
    <t>PROVISION PARA DEUDORES CR</t>
  </si>
  <si>
    <t>Deudas de Dificil Cobro</t>
  </si>
  <si>
    <t>Rentas Parafiscales</t>
  </si>
  <si>
    <t>Prestación de Servicios</t>
  </si>
  <si>
    <t>Otros deudores</t>
  </si>
  <si>
    <t>PROPIEDADES PLANTA Y EQUIPO</t>
  </si>
  <si>
    <t>TERRENOS</t>
  </si>
  <si>
    <t>Urbanos</t>
  </si>
  <si>
    <t>Rurales</t>
  </si>
  <si>
    <t>CONSTRUCCIONES EN CURSO</t>
  </si>
  <si>
    <t>Edificaciones Urbanas</t>
  </si>
  <si>
    <t>Obras de Infraestructura</t>
  </si>
  <si>
    <t>Redes, Líneas y Cables</t>
  </si>
  <si>
    <t>Otras construcciones en curso</t>
  </si>
  <si>
    <t>MAQUIN. PLANTA Y EQUIP.DE MON</t>
  </si>
  <si>
    <t>Equipo  de comuniación y comput.</t>
  </si>
  <si>
    <t>PROPIEDADES, PLANTA Y EQUIPO EN TRANSITO</t>
  </si>
  <si>
    <t>Equipo de Comunicación y Computación</t>
  </si>
  <si>
    <t>Muebles, Enseres y Equipo de Oficina</t>
  </si>
  <si>
    <t>BIENES MUEBLES EN BODEGA</t>
  </si>
  <si>
    <t>Maquinaria y Equipo</t>
  </si>
  <si>
    <t>Equipo Médico y Científico</t>
  </si>
  <si>
    <t>Equipo de transporte traccion elevacion</t>
  </si>
  <si>
    <t>Equipo de Comedor Cocina Despensa y Hotelería</t>
  </si>
  <si>
    <t>Ajuste por inflacion</t>
  </si>
  <si>
    <t>EDIFICACIONES</t>
  </si>
  <si>
    <t>Edificios y Casas</t>
  </si>
  <si>
    <t>Construcciones en Curso</t>
  </si>
  <si>
    <t>MAQUINARIA Y EQUIPO</t>
  </si>
  <si>
    <t>Equipo de Construcción</t>
  </si>
  <si>
    <t>Maquinaria Industrial</t>
  </si>
  <si>
    <t>Equipo de Música</t>
  </si>
  <si>
    <t>Equipo de Recreación y Deportes</t>
  </si>
  <si>
    <t>Equipo de Enseñanza</t>
  </si>
  <si>
    <t>Armamento de Vigilancia</t>
  </si>
  <si>
    <t>Herramientas y Accesorios</t>
  </si>
  <si>
    <t>Otros maquinaria y equipo</t>
  </si>
  <si>
    <t>EQUIPO MEDICO Y CIENTIFICO</t>
  </si>
  <si>
    <t>Equipo de Investigación</t>
  </si>
  <si>
    <t>Equipo de Laboratorio</t>
  </si>
  <si>
    <t>Equipo de Urgencias</t>
  </si>
  <si>
    <t>MUEBLES ENSERES Y EQUIPOS DE OFICINA</t>
  </si>
  <si>
    <t>Muebles y Enseres</t>
  </si>
  <si>
    <t>Equipos y Maquinas de Oficina</t>
  </si>
  <si>
    <t>Otros muebles enseres y equipo de oficina</t>
  </si>
  <si>
    <t>Ajuste por inflación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</si>
</sst>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</numFmts>
  <fonts count="25">
    <font>
      <sz val="10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"/>
      <name val="Arial"/>
      <family val="2"/>
    </font>
    <font>
      <b/>
      <sz val="6"/>
      <color indexed="63"/>
      <name val="Arial"/>
      <family val="2"/>
    </font>
    <font>
      <sz val="7"/>
      <color indexed="63"/>
      <name val="Arial"/>
      <family val="2"/>
    </font>
    <font>
      <b/>
      <sz val="5"/>
      <color indexed="63"/>
      <name val="Arial"/>
      <family val="2"/>
    </font>
    <font>
      <sz val="6"/>
      <color indexed="63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3" fontId="3" fillId="0" borderId="0" xfId="0" applyNumberFormat="1" applyFont="1" applyFill="1" applyAlignment="1">
      <alignment vertical="center" wrapText="1"/>
    </xf>
    <xf numFmtId="3" fontId="3" fillId="0" borderId="0" xfId="15" applyNumberFormat="1" applyFont="1" applyFill="1" applyAlignment="1">
      <alignment vertical="center" wrapText="1"/>
    </xf>
    <xf numFmtId="3" fontId="0" fillId="0" borderId="0" xfId="15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3" fontId="0" fillId="0" borderId="0" xfId="15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Continuous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4" fillId="0" borderId="0" xfId="16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vertical="center" wrapText="1"/>
      <protection/>
    </xf>
    <xf numFmtId="0" fontId="2" fillId="0" borderId="5" xfId="0" applyFont="1" applyFill="1" applyBorder="1" applyAlignment="1" applyProtection="1">
      <alignment horizontal="left" vertical="center" wrapText="1"/>
      <protection/>
    </xf>
    <xf numFmtId="0" fontId="3" fillId="0" borderId="5" xfId="0" applyFont="1" applyFill="1" applyBorder="1" applyAlignment="1" applyProtection="1">
      <alignment horizontal="left" vertical="center" wrapText="1"/>
      <protection/>
    </xf>
    <xf numFmtId="0" fontId="3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 quotePrefix="1">
      <alignment horizontal="left" vertical="center" wrapText="1"/>
    </xf>
    <xf numFmtId="3" fontId="2" fillId="0" borderId="6" xfId="0" applyNumberFormat="1" applyFont="1" applyFill="1" applyBorder="1" applyAlignment="1" quotePrefix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 applyProtection="1" quotePrefix="1">
      <alignment horizontal="left" vertical="center" wrapText="1"/>
      <protection/>
    </xf>
    <xf numFmtId="1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164" fontId="2" fillId="0" borderId="5" xfId="0" applyNumberFormat="1" applyFont="1" applyFill="1" applyBorder="1" applyAlignment="1" applyProtection="1">
      <alignment horizontal="left" vertical="center" wrapText="1"/>
      <protection/>
    </xf>
    <xf numFmtId="164" fontId="3" fillId="0" borderId="4" xfId="0" applyNumberFormat="1" applyFont="1" applyFill="1" applyBorder="1" applyAlignment="1" applyProtection="1">
      <alignment horizontal="center" vertical="center" wrapText="1"/>
      <protection/>
    </xf>
    <xf numFmtId="164" fontId="3" fillId="0" borderId="5" xfId="0" applyNumberFormat="1" applyFont="1" applyFill="1" applyBorder="1" applyAlignment="1" applyProtection="1">
      <alignment horizontal="left" vertical="center" wrapText="1"/>
      <protection/>
    </xf>
    <xf numFmtId="164" fontId="3" fillId="0" borderId="7" xfId="0" applyNumberFormat="1" applyFont="1" applyFill="1" applyBorder="1" applyAlignment="1" applyProtection="1">
      <alignment horizontal="center" vertical="center" wrapText="1"/>
      <protection/>
    </xf>
    <xf numFmtId="3" fontId="3" fillId="0" borderId="8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" fontId="3" fillId="0" borderId="0" xfId="15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1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vertical="center" wrapText="1"/>
    </xf>
    <xf numFmtId="1" fontId="1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1" fontId="11" fillId="0" borderId="5" xfId="0" applyNumberFormat="1" applyFont="1" applyFill="1" applyBorder="1" applyAlignment="1" quotePrefix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 quotePrefix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 applyAlignment="1">
      <alignment horizontal="right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1" fontId="11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49" fontId="11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0" fontId="7" fillId="0" borderId="0" xfId="0" applyFont="1" applyAlignment="1">
      <alignment horizontal="centerContinuous"/>
    </xf>
    <xf numFmtId="165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3" fontId="8" fillId="0" borderId="0" xfId="15" applyNumberFormat="1" applyFont="1" applyFill="1" applyAlignment="1">
      <alignment vertical="center" wrapText="1"/>
    </xf>
    <xf numFmtId="43" fontId="9" fillId="0" borderId="0" xfId="15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Continuous" vertical="center" wrapText="1"/>
    </xf>
    <xf numFmtId="3" fontId="9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20" fillId="0" borderId="0" xfId="16" applyNumberFormat="1" applyFont="1" applyFill="1" applyAlignment="1">
      <alignment horizontal="centerContinuous" vertical="center" wrapText="1"/>
    </xf>
    <xf numFmtId="3" fontId="20" fillId="0" borderId="0" xfId="16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horizontal="right" vertical="center" wrapText="1"/>
    </xf>
    <xf numFmtId="3" fontId="8" fillId="0" borderId="0" xfId="16" applyNumberFormat="1" applyFont="1" applyFill="1" applyAlignment="1">
      <alignment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vertical="center" wrapText="1"/>
      <protection/>
    </xf>
    <xf numFmtId="3" fontId="9" fillId="0" borderId="0" xfId="0" applyNumberFormat="1" applyFont="1" applyFill="1" applyAlignment="1">
      <alignment vertical="center" wrapText="1"/>
    </xf>
    <xf numFmtId="1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vertical="center" wrapText="1"/>
      <protection/>
    </xf>
    <xf numFmtId="3" fontId="21" fillId="0" borderId="0" xfId="0" applyNumberFormat="1" applyFont="1" applyFill="1" applyAlignment="1">
      <alignment vertical="center" wrapText="1"/>
    </xf>
    <xf numFmtId="43" fontId="9" fillId="0" borderId="0" xfId="0" applyNumberFormat="1" applyFont="1" applyFill="1" applyAlignment="1">
      <alignment vertical="center" wrapText="1"/>
    </xf>
    <xf numFmtId="1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vertical="center" wrapText="1"/>
      <protection/>
    </xf>
    <xf numFmtId="3" fontId="8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/>
    </xf>
    <xf numFmtId="4" fontId="9" fillId="0" borderId="0" xfId="0" applyNumberFormat="1" applyFont="1" applyFill="1" applyAlignment="1">
      <alignment vertical="center" wrapText="1"/>
    </xf>
    <xf numFmtId="0" fontId="8" fillId="0" borderId="5" xfId="0" applyFont="1" applyFill="1" applyBorder="1" applyAlignment="1" applyProtection="1">
      <alignment horizontal="left" vertical="center" wrapText="1"/>
      <protection/>
    </xf>
    <xf numFmtId="3" fontId="8" fillId="0" borderId="5" xfId="16" applyNumberFormat="1" applyFont="1" applyFill="1" applyBorder="1" applyAlignment="1" applyProtection="1">
      <alignment horizontal="right" vertical="center" wrapText="1"/>
      <protection locked="0"/>
    </xf>
    <xf numFmtId="0" fontId="9" fillId="0" borderId="5" xfId="0" applyFont="1" applyFill="1" applyBorder="1" applyAlignment="1" quotePrefix="1">
      <alignment horizontal="left" vertical="center" wrapText="1"/>
    </xf>
    <xf numFmtId="3" fontId="8" fillId="0" borderId="5" xfId="16" applyNumberFormat="1" applyFont="1" applyFill="1" applyBorder="1" applyAlignment="1">
      <alignment vertical="center" wrapText="1"/>
    </xf>
    <xf numFmtId="3" fontId="9" fillId="0" borderId="5" xfId="16" applyNumberFormat="1" applyFont="1" applyFill="1" applyBorder="1" applyAlignment="1" applyProtection="1">
      <alignment horizontal="right" vertical="center" wrapText="1"/>
      <protection locked="0"/>
    </xf>
    <xf numFmtId="0" fontId="12" fillId="0" borderId="5" xfId="0" applyFont="1" applyFill="1" applyBorder="1" applyAlignment="1">
      <alignment vertical="center"/>
    </xf>
    <xf numFmtId="0" fontId="8" fillId="0" borderId="5" xfId="0" applyFont="1" applyFill="1" applyBorder="1" applyAlignment="1" applyProtection="1" quotePrefix="1">
      <alignment horizontal="left" vertical="center" wrapText="1"/>
      <protection/>
    </xf>
    <xf numFmtId="1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" fontId="23" fillId="0" borderId="0" xfId="0" applyFont="1" applyFill="1" applyAlignment="1">
      <alignment horizontal="right" vertical="center"/>
    </xf>
    <xf numFmtId="39" fontId="23" fillId="0" borderId="0" xfId="0" applyFont="1" applyFill="1" applyAlignment="1">
      <alignment horizontal="right" vertical="center"/>
    </xf>
    <xf numFmtId="164" fontId="9" fillId="0" borderId="4" xfId="0" applyNumberFormat="1" applyFont="1" applyFill="1" applyBorder="1" applyAlignment="1" applyProtection="1">
      <alignment horizontal="center" vertical="center" wrapText="1"/>
      <protection/>
    </xf>
    <xf numFmtId="164" fontId="9" fillId="0" borderId="5" xfId="0" applyNumberFormat="1" applyFont="1" applyFill="1" applyBorder="1" applyAlignment="1" applyProtection="1">
      <alignment horizontal="left" vertical="center" wrapText="1"/>
      <protection/>
    </xf>
    <xf numFmtId="164" fontId="8" fillId="0" borderId="4" xfId="0" applyNumberFormat="1" applyFont="1" applyFill="1" applyBorder="1" applyAlignment="1" applyProtection="1">
      <alignment horizontal="center" vertical="center" wrapText="1"/>
      <protection/>
    </xf>
    <xf numFmtId="164" fontId="8" fillId="0" borderId="5" xfId="0" applyNumberFormat="1" applyFont="1" applyFill="1" applyBorder="1" applyAlignment="1" applyProtection="1">
      <alignment horizontal="left" vertical="center" wrapText="1"/>
      <protection/>
    </xf>
    <xf numFmtId="164" fontId="8" fillId="0" borderId="7" xfId="0" applyNumberFormat="1" applyFont="1" applyFill="1" applyBorder="1" applyAlignment="1" applyProtection="1">
      <alignment horizontal="center" vertical="center" wrapText="1"/>
      <protection/>
    </xf>
    <xf numFmtId="3" fontId="8" fillId="0" borderId="8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3" fontId="20" fillId="0" borderId="0" xfId="16" applyNumberFormat="1" applyFont="1" applyFill="1" applyAlignment="1">
      <alignment horizontal="right" vertical="center"/>
    </xf>
    <xf numFmtId="0" fontId="9" fillId="2" borderId="16" xfId="0" applyFont="1" applyFill="1" applyBorder="1" applyAlignment="1">
      <alignment horizontal="centerContinuous" vertical="center" wrapText="1"/>
    </xf>
    <xf numFmtId="0" fontId="9" fillId="2" borderId="17" xfId="0" applyFont="1" applyFill="1" applyBorder="1" applyAlignment="1">
      <alignment horizontal="centerContinuous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19" xfId="15" applyNumberFormat="1" applyFont="1" applyFill="1" applyBorder="1" applyAlignment="1">
      <alignment horizontal="center" vertical="center"/>
    </xf>
    <xf numFmtId="3" fontId="8" fillId="2" borderId="20" xfId="15" applyNumberFormat="1" applyFont="1" applyFill="1" applyBorder="1" applyAlignment="1">
      <alignment horizontal="center" vertical="center"/>
    </xf>
    <xf numFmtId="3" fontId="9" fillId="0" borderId="5" xfId="15" applyNumberFormat="1" applyFont="1" applyFill="1" applyBorder="1" applyAlignment="1" applyProtection="1">
      <alignment horizontal="right" vertical="center" wrapText="1"/>
      <protection/>
    </xf>
    <xf numFmtId="3" fontId="8" fillId="0" borderId="5" xfId="15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horizontal="right" vertical="center" wrapText="1"/>
      <protection/>
    </xf>
    <xf numFmtId="3" fontId="8" fillId="0" borderId="5" xfId="15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 horizontal="right" vertical="center"/>
    </xf>
    <xf numFmtId="3" fontId="8" fillId="0" borderId="5" xfId="15" applyNumberFormat="1" applyFont="1" applyFill="1" applyBorder="1" applyAlignment="1" applyProtection="1">
      <alignment horizontal="right" vertical="center" wrapText="1"/>
      <protection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5" xfId="16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 quotePrefix="1">
      <alignment horizontal="right" vertical="center" wrapText="1"/>
      <protection/>
    </xf>
    <xf numFmtId="3" fontId="8" fillId="0" borderId="5" xfId="16" applyNumberFormat="1" applyFont="1" applyFill="1" applyBorder="1" applyAlignment="1" applyProtection="1" quotePrefix="1">
      <alignment horizontal="right" vertical="center" wrapText="1"/>
      <protection locked="0"/>
    </xf>
    <xf numFmtId="3" fontId="22" fillId="0" borderId="5" xfId="15" applyNumberFormat="1" applyFont="1" applyFill="1" applyBorder="1" applyAlignment="1">
      <alignment/>
    </xf>
    <xf numFmtId="3" fontId="9" fillId="0" borderId="5" xfId="15" applyNumberFormat="1" applyFont="1" applyFill="1" applyBorder="1" applyAlignment="1">
      <alignment/>
    </xf>
    <xf numFmtId="3" fontId="9" fillId="0" borderId="5" xfId="15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  <protection/>
    </xf>
    <xf numFmtId="3" fontId="24" fillId="0" borderId="5" xfId="0" applyNumberFormat="1" applyFont="1" applyFill="1" applyBorder="1" applyAlignment="1" applyProtection="1">
      <alignment/>
      <protection/>
    </xf>
    <xf numFmtId="3" fontId="9" fillId="0" borderId="2" xfId="15" applyNumberFormat="1" applyFont="1" applyFill="1" applyBorder="1" applyAlignment="1" applyProtection="1">
      <alignment horizontal="right" vertical="center" wrapText="1"/>
      <protection/>
    </xf>
    <xf numFmtId="3" fontId="8" fillId="0" borderId="2" xfId="15" applyNumberFormat="1" applyFont="1" applyFill="1" applyBorder="1" applyAlignment="1">
      <alignment vertical="center" wrapText="1"/>
    </xf>
    <xf numFmtId="3" fontId="9" fillId="0" borderId="3" xfId="15" applyNumberFormat="1" applyFont="1" applyFill="1" applyBorder="1" applyAlignment="1" applyProtection="1">
      <alignment horizontal="right" vertical="center" wrapText="1"/>
      <protection/>
    </xf>
    <xf numFmtId="3" fontId="9" fillId="0" borderId="6" xfId="15" applyNumberFormat="1" applyFont="1" applyFill="1" applyBorder="1" applyAlignment="1" applyProtection="1">
      <alignment horizontal="right" vertical="center" wrapText="1"/>
      <protection/>
    </xf>
    <xf numFmtId="3" fontId="8" fillId="0" borderId="6" xfId="15" applyNumberFormat="1" applyFont="1" applyFill="1" applyBorder="1" applyAlignment="1" applyProtection="1">
      <alignment horizontal="right" vertical="center" wrapText="1"/>
      <protection/>
    </xf>
    <xf numFmtId="3" fontId="22" fillId="0" borderId="6" xfId="15" applyNumberFormat="1" applyFont="1" applyFill="1" applyBorder="1" applyAlignment="1" applyProtection="1">
      <alignment horizontal="right" vertical="center" wrapText="1"/>
      <protection/>
    </xf>
    <xf numFmtId="3" fontId="8" fillId="0" borderId="8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horizontal="right" vertical="center"/>
    </xf>
    <xf numFmtId="3" fontId="8" fillId="0" borderId="8" xfId="15" applyNumberFormat="1" applyFont="1" applyFill="1" applyBorder="1" applyAlignment="1">
      <alignment/>
    </xf>
    <xf numFmtId="3" fontId="8" fillId="0" borderId="8" xfId="15" applyNumberFormat="1" applyFont="1" applyFill="1" applyBorder="1" applyAlignment="1">
      <alignment vertical="center" wrapText="1"/>
    </xf>
    <xf numFmtId="3" fontId="9" fillId="0" borderId="21" xfId="15" applyNumberFormat="1" applyFont="1" applyFill="1" applyBorder="1" applyAlignment="1" applyProtection="1">
      <alignment horizontal="right" vertical="center" wrapText="1"/>
      <protection/>
    </xf>
    <xf numFmtId="3" fontId="3" fillId="2" borderId="19" xfId="15" applyNumberFormat="1" applyFont="1" applyFill="1" applyBorder="1" applyAlignment="1">
      <alignment horizontal="center" vertical="center" wrapText="1"/>
    </xf>
    <xf numFmtId="3" fontId="3" fillId="2" borderId="20" xfId="15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3" fillId="0" borderId="5" xfId="0" applyNumberFormat="1" applyFont="1" applyFill="1" applyBorder="1" applyAlignment="1" applyProtection="1">
      <alignment horizontal="right" vertical="center" wrapText="1"/>
      <protection/>
    </xf>
    <xf numFmtId="3" fontId="3" fillId="0" borderId="5" xfId="15" applyNumberFormat="1" applyFont="1" applyFill="1" applyBorder="1" applyAlignment="1">
      <alignment vertical="center" wrapText="1"/>
    </xf>
    <xf numFmtId="3" fontId="2" fillId="0" borderId="5" xfId="15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quotePrefix="1">
      <alignment horizontal="right" vertical="center" wrapText="1"/>
    </xf>
    <xf numFmtId="3" fontId="3" fillId="0" borderId="5" xfId="15" applyNumberFormat="1" applyFont="1" applyFill="1" applyBorder="1" applyAlignment="1" applyProtection="1">
      <alignment horizontal="right" vertical="center" wrapText="1"/>
      <protection/>
    </xf>
    <xf numFmtId="3" fontId="3" fillId="0" borderId="5" xfId="0" applyNumberFormat="1" applyFont="1" applyFill="1" applyBorder="1" applyAlignment="1" applyProtection="1" quotePrefix="1">
      <alignment horizontal="right" vertical="center" wrapText="1"/>
      <protection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3" fontId="2" fillId="0" borderId="6" xfId="15" applyNumberFormat="1" applyFont="1" applyFill="1" applyBorder="1" applyAlignment="1" applyProtection="1">
      <alignment horizontal="right" vertical="center" wrapText="1"/>
      <protection/>
    </xf>
    <xf numFmtId="3" fontId="3" fillId="0" borderId="6" xfId="15" applyNumberFormat="1" applyFont="1" applyFill="1" applyBorder="1" applyAlignment="1" applyProtection="1">
      <alignment horizontal="right" vertical="center" wrapText="1"/>
      <protection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8" xfId="15" applyNumberFormat="1" applyFont="1" applyFill="1" applyBorder="1" applyAlignment="1">
      <alignment vertical="center" wrapText="1"/>
    </xf>
    <xf numFmtId="3" fontId="3" fillId="0" borderId="8" xfId="15" applyNumberFormat="1" applyFont="1" applyFill="1" applyBorder="1" applyAlignment="1" applyProtection="1">
      <alignment horizontal="right" vertical="center" wrapText="1"/>
      <protection/>
    </xf>
    <xf numFmtId="3" fontId="2" fillId="0" borderId="8" xfId="15" applyNumberFormat="1" applyFont="1" applyFill="1" applyBorder="1" applyAlignment="1" applyProtection="1">
      <alignment horizontal="right" vertical="center" wrapText="1"/>
      <protection/>
    </xf>
    <xf numFmtId="3" fontId="2" fillId="0" borderId="21" xfId="15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3" fontId="0" fillId="0" borderId="0" xfId="15" applyFont="1" applyFill="1" applyAlignment="1">
      <alignment/>
    </xf>
    <xf numFmtId="43" fontId="0" fillId="0" borderId="0" xfId="0" applyNumberFormat="1" applyFont="1" applyFill="1" applyAlignment="1">
      <alignment/>
    </xf>
    <xf numFmtId="3" fontId="3" fillId="0" borderId="0" xfId="15" applyNumberFormat="1" applyFont="1" applyFill="1" applyAlignment="1">
      <alignment horizontal="right" vertical="center"/>
    </xf>
    <xf numFmtId="3" fontId="4" fillId="0" borderId="0" xfId="16" applyNumberFormat="1" applyFont="1" applyFill="1" applyAlignment="1">
      <alignment horizontal="right" vertical="center" wrapText="1"/>
    </xf>
    <xf numFmtId="3" fontId="2" fillId="2" borderId="3" xfId="15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3" fontId="9" fillId="2" borderId="22" xfId="0" applyNumberFormat="1" applyFont="1" applyFill="1" applyBorder="1" applyAlignment="1">
      <alignment horizontal="center" vertical="center" wrapText="1"/>
    </xf>
    <xf numFmtId="3" fontId="9" fillId="2" borderId="23" xfId="0" applyNumberFormat="1" applyFont="1" applyFill="1" applyBorder="1" applyAlignment="1">
      <alignment horizontal="center" vertical="center" wrapText="1"/>
    </xf>
    <xf numFmtId="3" fontId="9" fillId="2" borderId="17" xfId="16" applyNumberFormat="1" applyFont="1" applyFill="1" applyBorder="1" applyAlignment="1">
      <alignment horizontal="center" vertical="center" wrapText="1"/>
    </xf>
    <xf numFmtId="3" fontId="9" fillId="2" borderId="15" xfId="16" applyNumberFormat="1" applyFont="1" applyFill="1" applyBorder="1" applyAlignment="1">
      <alignment horizontal="center" vertical="center" wrapText="1"/>
    </xf>
    <xf numFmtId="3" fontId="9" fillId="2" borderId="24" xfId="16" applyNumberFormat="1" applyFont="1" applyFill="1" applyBorder="1" applyAlignment="1">
      <alignment horizontal="center" vertical="center" wrapText="1"/>
    </xf>
    <xf numFmtId="3" fontId="9" fillId="2" borderId="25" xfId="16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3" fontId="8" fillId="2" borderId="27" xfId="15" applyNumberFormat="1" applyFont="1" applyFill="1" applyBorder="1" applyAlignment="1">
      <alignment horizontal="center" vertical="center" wrapText="1"/>
    </xf>
    <xf numFmtId="3" fontId="8" fillId="2" borderId="20" xfId="15" applyNumberFormat="1" applyFont="1" applyFill="1" applyBorder="1" applyAlignment="1">
      <alignment horizontal="center" vertical="center" wrapText="1"/>
    </xf>
    <xf numFmtId="3" fontId="9" fillId="2" borderId="28" xfId="15" applyNumberFormat="1" applyFont="1" applyFill="1" applyBorder="1" applyAlignment="1">
      <alignment horizontal="center" vertical="center" wrapText="1"/>
    </xf>
    <xf numFmtId="3" fontId="9" fillId="2" borderId="29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vertical="center" wrapText="1"/>
    </xf>
    <xf numFmtId="3" fontId="0" fillId="0" borderId="0" xfId="15" applyNumberFormat="1" applyFont="1" applyFill="1" applyAlignment="1">
      <alignment horizontal="right" vertical="center" wrapText="1"/>
    </xf>
    <xf numFmtId="3" fontId="2" fillId="2" borderId="30" xfId="15" applyNumberFormat="1" applyFont="1" applyFill="1" applyBorder="1" applyAlignment="1">
      <alignment horizontal="center" vertical="center" wrapText="1"/>
    </xf>
    <xf numFmtId="3" fontId="2" fillId="2" borderId="31" xfId="15" applyNumberFormat="1" applyFont="1" applyFill="1" applyBorder="1" applyAlignment="1">
      <alignment horizontal="center" vertical="center" wrapText="1"/>
    </xf>
    <xf numFmtId="3" fontId="2" fillId="2" borderId="2" xfId="15" applyNumberFormat="1" applyFont="1" applyFill="1" applyBorder="1" applyAlignment="1">
      <alignment horizontal="center" vertical="center" wrapText="1"/>
    </xf>
    <xf numFmtId="3" fontId="2" fillId="2" borderId="32" xfId="15" applyNumberFormat="1" applyFont="1" applyFill="1" applyBorder="1" applyAlignment="1">
      <alignment horizontal="center" vertical="center" wrapText="1"/>
    </xf>
    <xf numFmtId="3" fontId="2" fillId="2" borderId="33" xfId="15" applyNumberFormat="1" applyFont="1" applyFill="1" applyBorder="1" applyAlignment="1">
      <alignment horizontal="center" vertical="center" wrapText="1"/>
    </xf>
    <xf numFmtId="3" fontId="2" fillId="2" borderId="34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3" fillId="2" borderId="35" xfId="15" applyNumberFormat="1" applyFont="1" applyFill="1" applyBorder="1" applyAlignment="1">
      <alignment horizontal="center" vertical="center" wrapText="1"/>
    </xf>
    <xf numFmtId="3" fontId="3" fillId="2" borderId="36" xfId="15" applyNumberFormat="1" applyFont="1" applyFill="1" applyBorder="1" applyAlignment="1">
      <alignment horizontal="center" vertical="center" wrapText="1"/>
    </xf>
    <xf numFmtId="3" fontId="3" fillId="0" borderId="0" xfId="15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Mis%20documentos\Balance\DICIEMBRE%202006\BALANCE%20DIC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Mis%20documentos\Balance\CGN96.001%20dic04%20Consolid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Mis%20documentos\Balance\BALANCE%20A%20JUNIO%202006\BALANCE%20SEPTIEMB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Configuraci&#243;n%20local\Archivos%20temporales%20de%20Internet\OLK198\BGCONSGNRAL122004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Configuraci&#243;n%20local\Archivos%20temporales%20de%20Internet\OLK198\GYPCONS12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te junio"/>
      <sheetName val="SIN CONSOLIDAR"/>
      <sheetName val="CONSOLIDADO"/>
      <sheetName val="CONSOLIDADO CHIP"/>
      <sheetName val="COMPARATIVO BALANCE"/>
      <sheetName val="CGN 001"/>
      <sheetName val="BALANCE GRAL CUENTA"/>
      <sheetName val="BALANCE GRAL GRUPO"/>
      <sheetName val="G &amp; P CUENTA"/>
      <sheetName val="G &amp; P GRUPO"/>
      <sheetName val="CGN 002"/>
      <sheetName val="COMPARATIVO G &amp; P"/>
      <sheetName val="CAMBIOS PATRIMONIO"/>
      <sheetName val="BALANCE CHIP"/>
      <sheetName val="RECIPROCAS CHIP"/>
      <sheetName val="NOTAS GENERALES CHIP"/>
      <sheetName val="NOTAS ESPECIFICAS CHIP"/>
    </sheetNames>
    <sheetDataSet>
      <sheetData sheetId="2">
        <row r="13">
          <cell r="H13">
            <v>0</v>
          </cell>
        </row>
      </sheetData>
      <sheetData sheetId="3">
        <row r="16">
          <cell r="H16">
            <v>342246</v>
          </cell>
        </row>
        <row r="20">
          <cell r="H20">
            <v>24945009</v>
          </cell>
        </row>
        <row r="24">
          <cell r="H24">
            <v>223394664</v>
          </cell>
        </row>
        <row r="37">
          <cell r="H37">
            <v>0</v>
          </cell>
        </row>
        <row r="42">
          <cell r="H42">
            <v>2758852</v>
          </cell>
        </row>
        <row r="54">
          <cell r="H54">
            <v>20422231</v>
          </cell>
        </row>
        <row r="63">
          <cell r="H63">
            <v>209735802</v>
          </cell>
        </row>
        <row r="66">
          <cell r="H66">
            <v>5484339</v>
          </cell>
        </row>
        <row r="79">
          <cell r="H79">
            <v>4442479</v>
          </cell>
        </row>
        <row r="82">
          <cell r="H82">
            <v>1934332</v>
          </cell>
        </row>
        <row r="92">
          <cell r="H92">
            <v>1195155</v>
          </cell>
        </row>
        <row r="100">
          <cell r="H100">
            <v>5070113</v>
          </cell>
        </row>
        <row r="104">
          <cell r="H104">
            <v>23319</v>
          </cell>
        </row>
        <row r="119">
          <cell r="H119">
            <v>1035188</v>
          </cell>
        </row>
        <row r="124">
          <cell r="H124">
            <v>2651035</v>
          </cell>
        </row>
        <row r="130">
          <cell r="H130">
            <v>471591</v>
          </cell>
        </row>
        <row r="133">
          <cell r="H133">
            <v>8588</v>
          </cell>
        </row>
        <row r="136">
          <cell r="H136">
            <v>-5281352</v>
          </cell>
        </row>
        <row r="146">
          <cell r="H146">
            <v>49003</v>
          </cell>
        </row>
        <row r="153">
          <cell r="H153">
            <v>78388</v>
          </cell>
        </row>
        <row r="165">
          <cell r="H165">
            <v>157513342</v>
          </cell>
        </row>
        <row r="167">
          <cell r="H167">
            <v>8428335</v>
          </cell>
        </row>
        <row r="171">
          <cell r="H171">
            <v>-10006</v>
          </cell>
        </row>
        <row r="176">
          <cell r="H176">
            <v>36026</v>
          </cell>
        </row>
        <row r="180">
          <cell r="H180">
            <v>-36026</v>
          </cell>
        </row>
        <row r="189">
          <cell r="H189">
            <v>8159894</v>
          </cell>
        </row>
        <row r="193">
          <cell r="H193">
            <v>-7840711</v>
          </cell>
        </row>
        <row r="197">
          <cell r="H197">
            <v>0</v>
          </cell>
        </row>
        <row r="214">
          <cell r="H214">
            <v>3161888</v>
          </cell>
        </row>
        <row r="225">
          <cell r="H225">
            <v>16600966</v>
          </cell>
        </row>
        <row r="228">
          <cell r="H228">
            <v>2264314</v>
          </cell>
        </row>
        <row r="232">
          <cell r="H232">
            <v>768395613</v>
          </cell>
        </row>
        <row r="241">
          <cell r="H241">
            <v>747034</v>
          </cell>
        </row>
        <row r="264">
          <cell r="H264">
            <v>842045</v>
          </cell>
        </row>
        <row r="275">
          <cell r="H275">
            <v>61083</v>
          </cell>
        </row>
        <row r="277">
          <cell r="H277">
            <v>184423</v>
          </cell>
        </row>
        <row r="283">
          <cell r="H283">
            <v>54</v>
          </cell>
        </row>
        <row r="286">
          <cell r="H286">
            <v>44229</v>
          </cell>
        </row>
        <row r="290">
          <cell r="H290">
            <v>942083</v>
          </cell>
        </row>
        <row r="314">
          <cell r="H314">
            <v>198171</v>
          </cell>
        </row>
        <row r="321">
          <cell r="H321">
            <v>-63548199</v>
          </cell>
        </row>
        <row r="323">
          <cell r="H323">
            <v>-88928398</v>
          </cell>
        </row>
        <row r="327">
          <cell r="H327">
            <v>3161888</v>
          </cell>
        </row>
        <row r="338">
          <cell r="H338">
            <v>879893</v>
          </cell>
        </row>
        <row r="341">
          <cell r="H341">
            <v>26328525</v>
          </cell>
        </row>
        <row r="372">
          <cell r="H372">
            <v>0</v>
          </cell>
        </row>
        <row r="377">
          <cell r="H377">
            <v>0</v>
          </cell>
        </row>
        <row r="380">
          <cell r="H380">
            <v>0</v>
          </cell>
        </row>
        <row r="383">
          <cell r="H383">
            <v>12243309810</v>
          </cell>
        </row>
        <row r="389">
          <cell r="H389">
            <v>797</v>
          </cell>
        </row>
        <row r="393">
          <cell r="H393">
            <v>62746665</v>
          </cell>
        </row>
        <row r="399">
          <cell r="H399">
            <v>4518</v>
          </cell>
        </row>
        <row r="402">
          <cell r="H402">
            <v>39983514</v>
          </cell>
        </row>
        <row r="412">
          <cell r="H412">
            <v>1233744</v>
          </cell>
        </row>
        <row r="424">
          <cell r="H424">
            <v>250508828</v>
          </cell>
        </row>
        <row r="435">
          <cell r="H435">
            <v>16623220</v>
          </cell>
        </row>
        <row r="463">
          <cell r="H463">
            <v>21559</v>
          </cell>
        </row>
        <row r="468">
          <cell r="H468">
            <v>2182756</v>
          </cell>
        </row>
        <row r="476">
          <cell r="H476">
            <v>11009299</v>
          </cell>
        </row>
        <row r="481">
          <cell r="H481">
            <v>4036198</v>
          </cell>
        </row>
        <row r="514">
          <cell r="H514">
            <v>29536497</v>
          </cell>
        </row>
        <row r="539">
          <cell r="H539">
            <v>2495065</v>
          </cell>
        </row>
        <row r="541">
          <cell r="H541">
            <v>1513769</v>
          </cell>
        </row>
        <row r="551">
          <cell r="H551">
            <v>395109</v>
          </cell>
        </row>
        <row r="555">
          <cell r="H555">
            <v>1179898</v>
          </cell>
        </row>
        <row r="561">
          <cell r="H561">
            <v>2846808877</v>
          </cell>
        </row>
        <row r="588">
          <cell r="H588">
            <v>9211101241</v>
          </cell>
        </row>
        <row r="612">
          <cell r="H612">
            <v>262611344</v>
          </cell>
        </row>
        <row r="627">
          <cell r="H627">
            <v>0</v>
          </cell>
        </row>
        <row r="634">
          <cell r="H634">
            <v>28797983</v>
          </cell>
        </row>
        <row r="636">
          <cell r="H636">
            <v>0</v>
          </cell>
        </row>
        <row r="641">
          <cell r="H641">
            <v>0</v>
          </cell>
        </row>
        <row r="644">
          <cell r="H644">
            <v>19581</v>
          </cell>
        </row>
        <row r="647">
          <cell r="H647">
            <v>1005694</v>
          </cell>
        </row>
        <row r="651">
          <cell r="H651">
            <v>408858174</v>
          </cell>
        </row>
        <row r="675">
          <cell r="H675">
            <v>14929858</v>
          </cell>
        </row>
        <row r="687">
          <cell r="H687">
            <v>-14929858</v>
          </cell>
        </row>
        <row r="694">
          <cell r="H694">
            <v>2456598190</v>
          </cell>
        </row>
        <row r="701">
          <cell r="H701">
            <v>890755</v>
          </cell>
        </row>
        <row r="709">
          <cell r="H709">
            <v>-2457488945</v>
          </cell>
        </row>
      </sheetData>
      <sheetData sheetId="6">
        <row r="13">
          <cell r="C13">
            <v>25287255</v>
          </cell>
          <cell r="D13">
            <v>21083313</v>
          </cell>
        </row>
        <row r="19">
          <cell r="G19">
            <v>16600966</v>
          </cell>
          <cell r="H19">
            <v>27433525</v>
          </cell>
        </row>
        <row r="21">
          <cell r="C21">
            <v>223394664</v>
          </cell>
          <cell r="D21">
            <v>201599365</v>
          </cell>
        </row>
        <row r="29">
          <cell r="G29">
            <v>772538795</v>
          </cell>
          <cell r="H29">
            <v>719997666</v>
          </cell>
        </row>
        <row r="34">
          <cell r="C34">
            <v>238401224</v>
          </cell>
          <cell r="D34">
            <v>358137677</v>
          </cell>
        </row>
        <row r="50">
          <cell r="G50">
            <v>942083</v>
          </cell>
          <cell r="H50">
            <v>626351</v>
          </cell>
        </row>
        <row r="59">
          <cell r="C59">
            <v>0</v>
          </cell>
          <cell r="D59">
            <v>0</v>
          </cell>
        </row>
        <row r="73">
          <cell r="G73">
            <v>198171</v>
          </cell>
          <cell r="H73">
            <v>1145978</v>
          </cell>
        </row>
        <row r="91">
          <cell r="C91">
            <v>0</v>
          </cell>
          <cell r="D91">
            <v>49209</v>
          </cell>
        </row>
        <row r="116">
          <cell r="C116">
            <v>11550448</v>
          </cell>
          <cell r="D116">
            <v>13884516</v>
          </cell>
        </row>
        <row r="150">
          <cell r="G150">
            <v>-122106291</v>
          </cell>
          <cell r="H150">
            <v>-20204395</v>
          </cell>
        </row>
        <row r="158">
          <cell r="C158">
            <v>169540133</v>
          </cell>
          <cell r="D158">
            <v>134245045</v>
          </cell>
        </row>
        <row r="192">
          <cell r="G192">
            <v>2456598190</v>
          </cell>
          <cell r="H192">
            <v>2191921421</v>
          </cell>
        </row>
        <row r="194">
          <cell r="C194">
            <v>14929858</v>
          </cell>
          <cell r="D194">
            <v>14272308</v>
          </cell>
          <cell r="G194">
            <v>890755</v>
          </cell>
          <cell r="H194">
            <v>889755</v>
          </cell>
        </row>
        <row r="196">
          <cell r="C196">
            <v>-14929858</v>
          </cell>
          <cell r="D196">
            <v>-14272308</v>
          </cell>
          <cell r="G196">
            <v>-2457488945</v>
          </cell>
          <cell r="H196">
            <v>-2192811176</v>
          </cell>
        </row>
      </sheetData>
      <sheetData sheetId="7">
        <row r="24">
          <cell r="G24">
            <v>-122106291</v>
          </cell>
          <cell r="H24">
            <v>-20204395</v>
          </cell>
        </row>
      </sheetData>
      <sheetData sheetId="8">
        <row r="13">
          <cell r="D13">
            <v>141479990</v>
          </cell>
          <cell r="E13">
            <v>114811155</v>
          </cell>
        </row>
        <row r="20">
          <cell r="D20">
            <v>0</v>
          </cell>
          <cell r="E20">
            <v>0</v>
          </cell>
        </row>
        <row r="25">
          <cell r="D25">
            <v>0</v>
          </cell>
          <cell r="E25">
            <v>3224640</v>
          </cell>
        </row>
        <row r="44">
          <cell r="D44">
            <v>0</v>
          </cell>
          <cell r="E44">
            <v>1508902</v>
          </cell>
        </row>
        <row r="55">
          <cell r="D55">
            <v>12306061790</v>
          </cell>
          <cell r="E55">
            <v>11504464090</v>
          </cell>
        </row>
        <row r="62">
          <cell r="D62">
            <v>0</v>
          </cell>
        </row>
        <row r="83">
          <cell r="D83">
            <v>63409529</v>
          </cell>
          <cell r="E83">
            <v>102819945</v>
          </cell>
        </row>
        <row r="91">
          <cell r="D91">
            <v>0</v>
          </cell>
          <cell r="E91">
            <v>0</v>
          </cell>
        </row>
        <row r="95">
          <cell r="D95">
            <v>4403943</v>
          </cell>
          <cell r="E95">
            <v>5453760</v>
          </cell>
        </row>
        <row r="103">
          <cell r="D103">
            <v>12059090016</v>
          </cell>
          <cell r="E103">
            <v>11195647500</v>
          </cell>
        </row>
        <row r="116">
          <cell r="D116">
            <v>0</v>
          </cell>
          <cell r="E116">
            <v>0</v>
          </cell>
        </row>
        <row r="120">
          <cell r="D120">
            <v>262611344</v>
          </cell>
          <cell r="E120">
            <v>75147186</v>
          </cell>
        </row>
        <row r="123">
          <cell r="D123">
            <v>28797983</v>
          </cell>
          <cell r="E123">
            <v>10957965</v>
          </cell>
        </row>
        <row r="131">
          <cell r="D131">
            <v>291726086</v>
          </cell>
          <cell r="E131">
            <v>188752131</v>
          </cell>
        </row>
        <row r="140">
          <cell r="D140">
            <v>-409883449</v>
          </cell>
          <cell r="E140">
            <v>-73403784</v>
          </cell>
        </row>
        <row r="150">
          <cell r="D150">
            <v>0</v>
          </cell>
          <cell r="E1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GN96.001 "/>
      <sheetName val="BLCE.GRAL.CUENTA"/>
      <sheetName val="BLCE.GRAL.GRUPO"/>
      <sheetName val="GYP.CUENTA"/>
      <sheetName val="GYP GRUPO"/>
      <sheetName val="PATRIMONIO"/>
    </sheetNames>
    <sheetDataSet>
      <sheetData sheetId="0">
        <row r="29">
          <cell r="E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 END"/>
      <sheetName val="CONSOLIDADO MEN"/>
      <sheetName val="CONSOLIDADO"/>
      <sheetName val="BLCE.GRAL.CUENTA"/>
      <sheetName val="BLCE.GRAL.GRUPO"/>
      <sheetName val="GYP.CUENTA"/>
      <sheetName val="GYP GRUPO"/>
    </sheetNames>
    <sheetDataSet>
      <sheetData sheetId="2">
        <row r="368">
          <cell r="F368">
            <v>0</v>
          </cell>
        </row>
        <row r="577">
          <cell r="F577">
            <v>0</v>
          </cell>
        </row>
      </sheetData>
      <sheetData sheetId="3">
        <row r="13">
          <cell r="G13">
            <v>0</v>
          </cell>
          <cell r="H13">
            <v>0</v>
          </cell>
        </row>
        <row r="24">
          <cell r="G24">
            <v>0</v>
          </cell>
          <cell r="H24">
            <v>0</v>
          </cell>
        </row>
        <row r="48">
          <cell r="C48">
            <v>0</v>
          </cell>
          <cell r="D4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ce por grupo"/>
      <sheetName val="bce gral por cta"/>
      <sheetName val="ecsf"/>
      <sheetName val="compara"/>
      <sheetName val="Hoja6"/>
      <sheetName val="PATRIMONIO"/>
    </sheetNames>
    <sheetDataSet>
      <sheetData sheetId="1">
        <row r="27">
          <cell r="C27">
            <v>0</v>
          </cell>
        </row>
        <row r="90">
          <cell r="G90">
            <v>0</v>
          </cell>
          <cell r="H90">
            <v>0</v>
          </cell>
        </row>
        <row r="122">
          <cell r="G122">
            <v>0</v>
          </cell>
          <cell r="H122">
            <v>0</v>
          </cell>
        </row>
        <row r="142">
          <cell r="G142">
            <v>0</v>
          </cell>
          <cell r="H142">
            <v>0</v>
          </cell>
        </row>
        <row r="165">
          <cell r="G16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 Y P POR CLASE"/>
      <sheetName val="G Y P POR GRUPO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1">
        <row r="61">
          <cell r="E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W1346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11.57421875" style="171" bestFit="1" customWidth="1"/>
    <col min="2" max="2" width="41.140625" style="138" customWidth="1"/>
    <col min="3" max="3" width="15.57421875" style="173" customWidth="1"/>
    <col min="4" max="4" width="11.00390625" style="168" hidden="1" customWidth="1"/>
    <col min="5" max="5" width="15.421875" style="168" hidden="1" customWidth="1"/>
    <col min="6" max="9" width="20.8515625" style="139" hidden="1" customWidth="1"/>
    <col min="10" max="10" width="26.140625" style="139" hidden="1" customWidth="1"/>
    <col min="11" max="11" width="25.57421875" style="139" hidden="1" customWidth="1"/>
    <col min="12" max="12" width="19.421875" style="139" customWidth="1"/>
    <col min="13" max="13" width="15.8515625" style="139" customWidth="1"/>
    <col min="14" max="14" width="23.8515625" style="163" hidden="1" customWidth="1"/>
    <col min="15" max="15" width="21.57421875" style="163" hidden="1" customWidth="1"/>
    <col min="16" max="16" width="17.8515625" style="163" customWidth="1"/>
    <col min="17" max="17" width="18.8515625" style="164" customWidth="1"/>
    <col min="18" max="18" width="24.8515625" style="164" customWidth="1"/>
    <col min="19" max="19" width="21.421875" style="165" customWidth="1"/>
    <col min="20" max="20" width="18.57421875" style="164" bestFit="1" customWidth="1"/>
    <col min="21" max="21" width="21.28125" style="164" bestFit="1" customWidth="1"/>
    <col min="22" max="22" width="24.00390625" style="165" customWidth="1"/>
    <col min="23" max="23" width="12.8515625" style="165" bestFit="1" customWidth="1"/>
    <col min="24" max="32" width="11.421875" style="165" customWidth="1"/>
    <col min="33" max="16384" width="11.421875" style="138" customWidth="1"/>
  </cols>
  <sheetData>
    <row r="1" spans="1:16" ht="11.25">
      <c r="A1" s="271" t="s">
        <v>3424</v>
      </c>
      <c r="B1" s="271"/>
      <c r="C1" s="271"/>
      <c r="D1" s="271"/>
      <c r="E1" s="271"/>
      <c r="F1" s="271"/>
      <c r="G1" s="271"/>
      <c r="H1" s="271"/>
      <c r="I1" s="271"/>
      <c r="P1" s="163" t="s">
        <v>228</v>
      </c>
    </row>
    <row r="2" spans="1:16" ht="11.25">
      <c r="A2" s="271" t="s">
        <v>3426</v>
      </c>
      <c r="B2" s="271"/>
      <c r="C2" s="271"/>
      <c r="D2" s="271"/>
      <c r="E2" s="271"/>
      <c r="F2" s="271"/>
      <c r="G2" s="271"/>
      <c r="H2" s="271"/>
      <c r="I2" s="271"/>
      <c r="P2" s="163" t="s">
        <v>229</v>
      </c>
    </row>
    <row r="3" spans="1:9" ht="11.25">
      <c r="A3" s="271" t="s">
        <v>3428</v>
      </c>
      <c r="B3" s="271"/>
      <c r="C3" s="271"/>
      <c r="D3" s="271"/>
      <c r="E3" s="271"/>
      <c r="F3" s="271"/>
      <c r="G3" s="271"/>
      <c r="H3" s="271"/>
      <c r="I3" s="271"/>
    </row>
    <row r="4" spans="1:9" ht="11.25">
      <c r="A4" s="271" t="s">
        <v>3429</v>
      </c>
      <c r="B4" s="271"/>
      <c r="C4" s="271"/>
      <c r="D4" s="271"/>
      <c r="E4" s="271"/>
      <c r="F4" s="271"/>
      <c r="G4" s="271"/>
      <c r="H4" s="271"/>
      <c r="I4" s="271"/>
    </row>
    <row r="5" spans="1:9" ht="11.25">
      <c r="A5" s="271" t="s">
        <v>3430</v>
      </c>
      <c r="B5" s="271"/>
      <c r="C5" s="271"/>
      <c r="D5" s="271"/>
      <c r="E5" s="271"/>
      <c r="F5" s="271"/>
      <c r="G5" s="271"/>
      <c r="H5" s="271"/>
      <c r="I5" s="271"/>
    </row>
    <row r="6" spans="1:9" ht="11.25">
      <c r="A6" s="271" t="s">
        <v>3431</v>
      </c>
      <c r="B6" s="271"/>
      <c r="C6" s="271"/>
      <c r="D6" s="271"/>
      <c r="E6" s="271"/>
      <c r="F6" s="271"/>
      <c r="G6" s="271"/>
      <c r="H6" s="271"/>
      <c r="I6" s="271"/>
    </row>
    <row r="7" spans="1:16" ht="11.25">
      <c r="A7" s="166"/>
      <c r="B7" s="166"/>
      <c r="C7" s="167"/>
      <c r="E7" s="169"/>
      <c r="G7" s="170"/>
      <c r="H7" s="170"/>
      <c r="I7" s="170"/>
      <c r="J7" s="170"/>
      <c r="K7" s="170"/>
      <c r="L7" s="138"/>
      <c r="M7" s="211"/>
      <c r="N7" s="211"/>
      <c r="O7" s="211"/>
      <c r="P7" s="211" t="s">
        <v>3432</v>
      </c>
    </row>
    <row r="8" spans="1:5" ht="12" thickBot="1">
      <c r="A8" s="171">
        <v>15.71</v>
      </c>
      <c r="B8" s="172">
        <v>60.14</v>
      </c>
      <c r="D8" s="174"/>
      <c r="E8" s="174"/>
    </row>
    <row r="9" spans="1:16" ht="12" thickBot="1">
      <c r="A9" s="212" t="s">
        <v>3433</v>
      </c>
      <c r="B9" s="213"/>
      <c r="C9" s="272" t="s">
        <v>3434</v>
      </c>
      <c r="D9" s="274" t="s">
        <v>230</v>
      </c>
      <c r="E9" s="276" t="s">
        <v>231</v>
      </c>
      <c r="F9" s="278" t="s">
        <v>232</v>
      </c>
      <c r="G9" s="278"/>
      <c r="H9" s="278" t="s">
        <v>233</v>
      </c>
      <c r="I9" s="278"/>
      <c r="J9" s="278" t="s">
        <v>234</v>
      </c>
      <c r="K9" s="278"/>
      <c r="L9" s="279" t="s">
        <v>3435</v>
      </c>
      <c r="M9" s="280"/>
      <c r="N9" s="279" t="s">
        <v>3435</v>
      </c>
      <c r="O9" s="280"/>
      <c r="P9" s="281" t="s">
        <v>3436</v>
      </c>
    </row>
    <row r="10" spans="1:16" ht="23.25" thickBot="1">
      <c r="A10" s="214" t="s">
        <v>3439</v>
      </c>
      <c r="B10" s="215" t="s">
        <v>3440</v>
      </c>
      <c r="C10" s="273"/>
      <c r="D10" s="275"/>
      <c r="E10" s="277"/>
      <c r="F10" s="216" t="s">
        <v>3441</v>
      </c>
      <c r="G10" s="217" t="s">
        <v>3442</v>
      </c>
      <c r="H10" s="216" t="s">
        <v>3441</v>
      </c>
      <c r="I10" s="217" t="s">
        <v>3442</v>
      </c>
      <c r="J10" s="216" t="s">
        <v>3441</v>
      </c>
      <c r="K10" s="217" t="s">
        <v>3442</v>
      </c>
      <c r="L10" s="218" t="s">
        <v>3441</v>
      </c>
      <c r="M10" s="219" t="s">
        <v>3442</v>
      </c>
      <c r="N10" s="218" t="s">
        <v>3441</v>
      </c>
      <c r="O10" s="219" t="s">
        <v>3442</v>
      </c>
      <c r="P10" s="282"/>
    </row>
    <row r="11" spans="1:22" ht="11.25">
      <c r="A11" s="175">
        <v>100000</v>
      </c>
      <c r="B11" s="176" t="s">
        <v>3443</v>
      </c>
      <c r="C11" s="235">
        <f aca="true" t="shared" si="0" ref="C11:M11">C12+C23+C36+C78+C145</f>
        <v>727594805</v>
      </c>
      <c r="D11" s="235">
        <f t="shared" si="0"/>
        <v>-127789274623.01997</v>
      </c>
      <c r="E11" s="235">
        <f t="shared" si="0"/>
        <v>-4459621398.289999</v>
      </c>
      <c r="F11" s="235">
        <f t="shared" si="0"/>
        <v>427760124611.95996</v>
      </c>
      <c r="G11" s="235">
        <f t="shared" si="0"/>
        <v>434129012260.50995</v>
      </c>
      <c r="H11" s="235">
        <f t="shared" si="0"/>
        <v>203817380134.73</v>
      </c>
      <c r="I11" s="235">
        <f t="shared" si="0"/>
        <v>152925229974.90997</v>
      </c>
      <c r="J11" s="235">
        <f t="shared" si="0"/>
        <v>919944505909.6099</v>
      </c>
      <c r="K11" s="235">
        <f t="shared" si="0"/>
        <v>1030622862808.95</v>
      </c>
      <c r="L11" s="235">
        <f t="shared" si="0"/>
        <v>1551522019</v>
      </c>
      <c r="M11" s="235">
        <f t="shared" si="0"/>
        <v>1617677110</v>
      </c>
      <c r="N11" s="236">
        <f aca="true" t="shared" si="1" ref="N11:O74">+F11+H11+J11</f>
        <v>1551522010656.2998</v>
      </c>
      <c r="O11" s="236">
        <f t="shared" si="1"/>
        <v>1617677105044.3699</v>
      </c>
      <c r="P11" s="237">
        <f>P12+P23+P36+P78+P145</f>
        <v>661439713</v>
      </c>
      <c r="S11" s="177"/>
      <c r="V11" s="164"/>
    </row>
    <row r="12" spans="1:23" ht="11.25">
      <c r="A12" s="178">
        <v>110000</v>
      </c>
      <c r="B12" s="179" t="s">
        <v>3444</v>
      </c>
      <c r="C12" s="220">
        <f aca="true" t="shared" si="2" ref="C12:M12">C13+C16+C20</f>
        <v>69667321</v>
      </c>
      <c r="D12" s="220">
        <f t="shared" si="2"/>
        <v>34148500357.88002</v>
      </c>
      <c r="E12" s="220">
        <f t="shared" si="2"/>
        <v>0</v>
      </c>
      <c r="F12" s="220">
        <f t="shared" si="2"/>
        <v>74186196900.74</v>
      </c>
      <c r="G12" s="220">
        <f t="shared" si="2"/>
        <v>172640443999.46</v>
      </c>
      <c r="H12" s="220">
        <f t="shared" si="2"/>
        <v>81232440642.01001</v>
      </c>
      <c r="I12" s="220">
        <f t="shared" si="2"/>
        <v>63566044655.909996</v>
      </c>
      <c r="J12" s="220">
        <f t="shared" si="2"/>
        <v>396828278243.41</v>
      </c>
      <c r="K12" s="220">
        <f t="shared" si="2"/>
        <v>362637751219.49</v>
      </c>
      <c r="L12" s="220">
        <f t="shared" si="2"/>
        <v>552246916</v>
      </c>
      <c r="M12" s="220">
        <f t="shared" si="2"/>
        <v>598844240</v>
      </c>
      <c r="N12" s="221">
        <f t="shared" si="1"/>
        <v>552246915786.1599</v>
      </c>
      <c r="O12" s="221">
        <f t="shared" si="1"/>
        <v>598844239874.86</v>
      </c>
      <c r="P12" s="238">
        <f>P13+P16+P20</f>
        <v>23069997</v>
      </c>
      <c r="S12" s="180"/>
      <c r="V12" s="181"/>
      <c r="W12" s="181"/>
    </row>
    <row r="13" spans="1:22" ht="11.25">
      <c r="A13" s="178">
        <v>110500</v>
      </c>
      <c r="B13" s="179" t="s">
        <v>3445</v>
      </c>
      <c r="C13" s="220">
        <f aca="true" t="shared" si="3" ref="C13:M13">SUM(C14:C15)</f>
        <v>110500</v>
      </c>
      <c r="D13" s="220">
        <f t="shared" si="3"/>
        <v>61492500</v>
      </c>
      <c r="E13" s="220">
        <f t="shared" si="3"/>
        <v>0</v>
      </c>
      <c r="F13" s="220">
        <f t="shared" si="3"/>
        <v>0</v>
      </c>
      <c r="G13" s="220">
        <f t="shared" si="3"/>
        <v>0</v>
      </c>
      <c r="H13" s="220">
        <f t="shared" si="3"/>
        <v>0</v>
      </c>
      <c r="I13" s="220">
        <f t="shared" si="3"/>
        <v>0</v>
      </c>
      <c r="J13" s="220">
        <f t="shared" si="3"/>
        <v>0</v>
      </c>
      <c r="K13" s="220">
        <f t="shared" si="3"/>
        <v>110500000</v>
      </c>
      <c r="L13" s="220">
        <f t="shared" si="3"/>
        <v>0</v>
      </c>
      <c r="M13" s="220">
        <f t="shared" si="3"/>
        <v>110500</v>
      </c>
      <c r="N13" s="221">
        <f t="shared" si="1"/>
        <v>0</v>
      </c>
      <c r="O13" s="221">
        <f t="shared" si="1"/>
        <v>110500000</v>
      </c>
      <c r="P13" s="238">
        <f>SUM(P14:P15)</f>
        <v>0</v>
      </c>
      <c r="S13" s="164"/>
      <c r="V13" s="164"/>
    </row>
    <row r="14" spans="1:22" ht="11.25">
      <c r="A14" s="182">
        <v>110501</v>
      </c>
      <c r="B14" s="183" t="s">
        <v>3446</v>
      </c>
      <c r="C14" s="222">
        <v>0</v>
      </c>
      <c r="D14" s="184">
        <v>-53000</v>
      </c>
      <c r="E14" s="184">
        <v>0</v>
      </c>
      <c r="F14" s="124"/>
      <c r="G14" s="124"/>
      <c r="H14" s="125"/>
      <c r="I14" s="125"/>
      <c r="J14" s="125"/>
      <c r="K14" s="125"/>
      <c r="L14" s="223">
        <v>0</v>
      </c>
      <c r="M14" s="223">
        <v>0</v>
      </c>
      <c r="N14" s="221">
        <f t="shared" si="1"/>
        <v>0</v>
      </c>
      <c r="O14" s="221">
        <f t="shared" si="1"/>
        <v>0</v>
      </c>
      <c r="P14" s="238">
        <f>+C14+L14-M14</f>
        <v>0</v>
      </c>
      <c r="S14" s="177"/>
      <c r="V14" s="164"/>
    </row>
    <row r="15" spans="1:22" ht="11.25">
      <c r="A15" s="182">
        <v>110502</v>
      </c>
      <c r="B15" s="183" t="s">
        <v>3447</v>
      </c>
      <c r="C15" s="222">
        <v>110500</v>
      </c>
      <c r="D15" s="184">
        <v>61545500</v>
      </c>
      <c r="E15" s="184">
        <v>0</v>
      </c>
      <c r="F15" s="224"/>
      <c r="G15" s="224"/>
      <c r="H15" s="125"/>
      <c r="I15" s="125"/>
      <c r="J15" s="224">
        <v>0</v>
      </c>
      <c r="K15" s="224">
        <v>110500000</v>
      </c>
      <c r="L15" s="223">
        <v>0</v>
      </c>
      <c r="M15" s="223">
        <v>110500</v>
      </c>
      <c r="N15" s="221">
        <f t="shared" si="1"/>
        <v>0</v>
      </c>
      <c r="O15" s="221">
        <f t="shared" si="1"/>
        <v>110500000</v>
      </c>
      <c r="P15" s="238">
        <f>+C15+L15-M15</f>
        <v>0</v>
      </c>
      <c r="S15" s="180"/>
      <c r="V15" s="164"/>
    </row>
    <row r="16" spans="1:22" ht="11.25">
      <c r="A16" s="178">
        <v>111000</v>
      </c>
      <c r="B16" s="179" t="s">
        <v>3448</v>
      </c>
      <c r="C16" s="220">
        <f aca="true" t="shared" si="4" ref="C16:M16">SUM(C17:C19)</f>
        <v>646488</v>
      </c>
      <c r="D16" s="220">
        <f t="shared" si="4"/>
        <v>-2421212491.0499806</v>
      </c>
      <c r="E16" s="220">
        <f t="shared" si="4"/>
        <v>0</v>
      </c>
      <c r="F16" s="220">
        <f t="shared" si="4"/>
        <v>61456195715.64</v>
      </c>
      <c r="G16" s="220">
        <f t="shared" si="4"/>
        <v>61250983032.46</v>
      </c>
      <c r="H16" s="220">
        <f t="shared" si="4"/>
        <v>22796601625.64</v>
      </c>
      <c r="I16" s="220">
        <f t="shared" si="4"/>
        <v>52091244827.84</v>
      </c>
      <c r="J16" s="220">
        <f t="shared" si="4"/>
        <v>189193315303.35</v>
      </c>
      <c r="K16" s="220">
        <f t="shared" si="4"/>
        <v>160586368899.61</v>
      </c>
      <c r="L16" s="220">
        <f t="shared" si="4"/>
        <v>273446113</v>
      </c>
      <c r="M16" s="220">
        <f t="shared" si="4"/>
        <v>273928597</v>
      </c>
      <c r="N16" s="221">
        <f t="shared" si="1"/>
        <v>273446112644.63</v>
      </c>
      <c r="O16" s="221">
        <f t="shared" si="1"/>
        <v>273928596759.90997</v>
      </c>
      <c r="P16" s="238">
        <f>SUM(P17:P19)</f>
        <v>164004</v>
      </c>
      <c r="S16" s="177"/>
      <c r="V16" s="181"/>
    </row>
    <row r="17" spans="1:19" ht="11.25">
      <c r="A17" s="182">
        <v>111005</v>
      </c>
      <c r="B17" s="183" t="s">
        <v>3449</v>
      </c>
      <c r="C17" s="222">
        <v>646488</v>
      </c>
      <c r="D17" s="184">
        <v>-1382792262.2299805</v>
      </c>
      <c r="E17" s="125">
        <v>0</v>
      </c>
      <c r="F17" s="224">
        <v>61456195715.64</v>
      </c>
      <c r="G17" s="224">
        <v>61250983032.46</v>
      </c>
      <c r="H17" s="224">
        <v>22796601625.64</v>
      </c>
      <c r="I17" s="224">
        <v>52091244827.84</v>
      </c>
      <c r="J17" s="224">
        <v>189193315303.35</v>
      </c>
      <c r="K17" s="224">
        <v>160586368899.61</v>
      </c>
      <c r="L17" s="223">
        <v>273446113</v>
      </c>
      <c r="M17" s="223">
        <v>273928597</v>
      </c>
      <c r="N17" s="221">
        <f t="shared" si="1"/>
        <v>273446112644.63</v>
      </c>
      <c r="O17" s="221">
        <f t="shared" si="1"/>
        <v>273928596759.90997</v>
      </c>
      <c r="P17" s="239">
        <f>+C17+L17-M17</f>
        <v>164004</v>
      </c>
      <c r="S17" s="164"/>
    </row>
    <row r="18" spans="1:16" ht="11.25">
      <c r="A18" s="182">
        <v>111006</v>
      </c>
      <c r="B18" s="183" t="s">
        <v>3450</v>
      </c>
      <c r="C18" s="222">
        <v>0</v>
      </c>
      <c r="D18" s="184">
        <v>-1038420228.82</v>
      </c>
      <c r="E18" s="125">
        <v>0</v>
      </c>
      <c r="F18" s="224"/>
      <c r="G18" s="224"/>
      <c r="H18" s="224"/>
      <c r="I18" s="224"/>
      <c r="J18" s="224"/>
      <c r="K18" s="224"/>
      <c r="L18" s="223">
        <v>0</v>
      </c>
      <c r="M18" s="223">
        <v>0</v>
      </c>
      <c r="N18" s="221">
        <f t="shared" si="1"/>
        <v>0</v>
      </c>
      <c r="O18" s="221">
        <f t="shared" si="1"/>
        <v>0</v>
      </c>
      <c r="P18" s="238">
        <f>+C18+L18-M18</f>
        <v>0</v>
      </c>
    </row>
    <row r="19" spans="1:19" ht="11.25">
      <c r="A19" s="182">
        <v>111090</v>
      </c>
      <c r="B19" s="183" t="s">
        <v>3451</v>
      </c>
      <c r="C19" s="222">
        <v>0</v>
      </c>
      <c r="D19" s="184">
        <v>0</v>
      </c>
      <c r="E19" s="125">
        <v>0</v>
      </c>
      <c r="F19" s="224"/>
      <c r="G19" s="224"/>
      <c r="H19" s="224"/>
      <c r="I19" s="224"/>
      <c r="J19" s="224"/>
      <c r="K19" s="224"/>
      <c r="L19" s="223">
        <v>0</v>
      </c>
      <c r="M19" s="223">
        <v>0</v>
      </c>
      <c r="N19" s="221">
        <f t="shared" si="1"/>
        <v>0</v>
      </c>
      <c r="O19" s="221">
        <f t="shared" si="1"/>
        <v>0</v>
      </c>
      <c r="P19" s="238">
        <f>+C19+L19-M19</f>
        <v>0</v>
      </c>
      <c r="S19" s="181"/>
    </row>
    <row r="20" spans="1:16" ht="11.25">
      <c r="A20" s="178">
        <v>112500</v>
      </c>
      <c r="B20" s="185" t="s">
        <v>3452</v>
      </c>
      <c r="C20" s="220">
        <f aca="true" t="shared" si="5" ref="C20:M20">SUM(C21:C22)</f>
        <v>68910333</v>
      </c>
      <c r="D20" s="220">
        <f t="shared" si="5"/>
        <v>36508220348.93</v>
      </c>
      <c r="E20" s="220">
        <f t="shared" si="5"/>
        <v>0</v>
      </c>
      <c r="F20" s="220">
        <f t="shared" si="5"/>
        <v>12730001185.1</v>
      </c>
      <c r="G20" s="220">
        <f t="shared" si="5"/>
        <v>111389460967</v>
      </c>
      <c r="H20" s="220">
        <f t="shared" si="5"/>
        <v>58435839016.37</v>
      </c>
      <c r="I20" s="220">
        <f t="shared" si="5"/>
        <v>11474799828.07</v>
      </c>
      <c r="J20" s="220">
        <f t="shared" si="5"/>
        <v>207634962940.05997</v>
      </c>
      <c r="K20" s="220">
        <f t="shared" si="5"/>
        <v>201940882319.88</v>
      </c>
      <c r="L20" s="220">
        <f t="shared" si="5"/>
        <v>278800803</v>
      </c>
      <c r="M20" s="220">
        <f t="shared" si="5"/>
        <v>324805143</v>
      </c>
      <c r="N20" s="221">
        <f t="shared" si="1"/>
        <v>278800803141.52997</v>
      </c>
      <c r="O20" s="221">
        <f t="shared" si="1"/>
        <v>324805143114.95</v>
      </c>
      <c r="P20" s="238">
        <f>SUM(P21:P22)</f>
        <v>22905993</v>
      </c>
    </row>
    <row r="21" spans="1:16" ht="11.25">
      <c r="A21" s="182">
        <v>112504</v>
      </c>
      <c r="B21" s="183" t="s">
        <v>3453</v>
      </c>
      <c r="C21" s="222">
        <v>68910333</v>
      </c>
      <c r="D21" s="184">
        <v>36508220348.93</v>
      </c>
      <c r="E21" s="125">
        <v>0</v>
      </c>
      <c r="F21" s="224">
        <v>12730001185.1</v>
      </c>
      <c r="G21" s="224">
        <v>111389460967</v>
      </c>
      <c r="H21" s="224">
        <v>58435839016.37</v>
      </c>
      <c r="I21" s="224">
        <v>11474799828.07</v>
      </c>
      <c r="J21" s="224">
        <v>207634962940.05997</v>
      </c>
      <c r="K21" s="224">
        <v>201940882319.88</v>
      </c>
      <c r="L21" s="223">
        <v>278800803</v>
      </c>
      <c r="M21" s="223">
        <v>324805143</v>
      </c>
      <c r="N21" s="221">
        <f t="shared" si="1"/>
        <v>278800803141.52997</v>
      </c>
      <c r="O21" s="221">
        <f t="shared" si="1"/>
        <v>324805143114.95</v>
      </c>
      <c r="P21" s="239">
        <f>+C21+L21-M21</f>
        <v>22905993</v>
      </c>
    </row>
    <row r="22" spans="1:16" ht="11.25">
      <c r="A22" s="182">
        <v>112506</v>
      </c>
      <c r="B22" s="183" t="s">
        <v>3454</v>
      </c>
      <c r="C22" s="222">
        <v>0</v>
      </c>
      <c r="D22" s="184">
        <v>0</v>
      </c>
      <c r="E22" s="125">
        <v>0</v>
      </c>
      <c r="F22" s="224"/>
      <c r="G22" s="224"/>
      <c r="H22" s="224"/>
      <c r="I22" s="224"/>
      <c r="J22" s="224"/>
      <c r="K22" s="224"/>
      <c r="L22" s="223">
        <v>0</v>
      </c>
      <c r="M22" s="223">
        <v>0</v>
      </c>
      <c r="N22" s="221">
        <f t="shared" si="1"/>
        <v>0</v>
      </c>
      <c r="O22" s="221">
        <f t="shared" si="1"/>
        <v>0</v>
      </c>
      <c r="P22" s="238">
        <f>+C22+L22-M22</f>
        <v>0</v>
      </c>
    </row>
    <row r="23" spans="1:19" ht="11.25">
      <c r="A23" s="178">
        <v>120000</v>
      </c>
      <c r="B23" s="179" t="s">
        <v>3455</v>
      </c>
      <c r="C23" s="220">
        <f aca="true" t="shared" si="6" ref="C23:M23">C24+C29+C31+C33</f>
        <v>6000380</v>
      </c>
      <c r="D23" s="220">
        <f t="shared" si="6"/>
        <v>-190354725961.94</v>
      </c>
      <c r="E23" s="220">
        <f t="shared" si="6"/>
        <v>0</v>
      </c>
      <c r="F23" s="220">
        <f t="shared" si="6"/>
        <v>214058268796</v>
      </c>
      <c r="G23" s="220">
        <f t="shared" si="6"/>
        <v>0</v>
      </c>
      <c r="H23" s="220">
        <f t="shared" si="6"/>
        <v>4924509990.95</v>
      </c>
      <c r="I23" s="220">
        <f t="shared" si="6"/>
        <v>0</v>
      </c>
      <c r="J23" s="220">
        <f t="shared" si="6"/>
        <v>5529785409.889999</v>
      </c>
      <c r="K23" s="220">
        <f t="shared" si="6"/>
        <v>11167092002.900002</v>
      </c>
      <c r="L23" s="220">
        <f t="shared" si="6"/>
        <v>224512566</v>
      </c>
      <c r="M23" s="220">
        <f t="shared" si="6"/>
        <v>11167093</v>
      </c>
      <c r="N23" s="221">
        <f t="shared" si="1"/>
        <v>224512564196.84003</v>
      </c>
      <c r="O23" s="221">
        <f t="shared" si="1"/>
        <v>11167092002.900002</v>
      </c>
      <c r="P23" s="238">
        <f>P24+P29+P31+P33</f>
        <v>219345853</v>
      </c>
      <c r="S23" s="177"/>
    </row>
    <row r="24" spans="1:19" ht="11.25">
      <c r="A24" s="178">
        <v>120100</v>
      </c>
      <c r="B24" s="179" t="s">
        <v>3456</v>
      </c>
      <c r="C24" s="220">
        <f aca="true" t="shared" si="7" ref="C24:M24">SUM(C25:C28)</f>
        <v>6000380</v>
      </c>
      <c r="D24" s="220">
        <f t="shared" si="7"/>
        <v>-190305516961.94</v>
      </c>
      <c r="E24" s="220">
        <f t="shared" si="7"/>
        <v>0</v>
      </c>
      <c r="F24" s="220">
        <f t="shared" si="7"/>
        <v>214058268796</v>
      </c>
      <c r="G24" s="220">
        <f t="shared" si="7"/>
        <v>0</v>
      </c>
      <c r="H24" s="220">
        <f t="shared" si="7"/>
        <v>4924509990.95</v>
      </c>
      <c r="I24" s="220">
        <f t="shared" si="7"/>
        <v>0</v>
      </c>
      <c r="J24" s="220">
        <f t="shared" si="7"/>
        <v>5529785409.889999</v>
      </c>
      <c r="K24" s="220">
        <f t="shared" si="7"/>
        <v>11167092002.900002</v>
      </c>
      <c r="L24" s="220">
        <f t="shared" si="7"/>
        <v>224512566</v>
      </c>
      <c r="M24" s="220">
        <f t="shared" si="7"/>
        <v>11167093</v>
      </c>
      <c r="N24" s="221">
        <f t="shared" si="1"/>
        <v>224512564196.84003</v>
      </c>
      <c r="O24" s="221">
        <f t="shared" si="1"/>
        <v>11167092002.900002</v>
      </c>
      <c r="P24" s="238">
        <f>SUM(P25:P28)</f>
        <v>219345853</v>
      </c>
      <c r="S24" s="177"/>
    </row>
    <row r="25" spans="1:16" ht="11.25">
      <c r="A25" s="182">
        <v>120101</v>
      </c>
      <c r="B25" s="183" t="s">
        <v>3457</v>
      </c>
      <c r="C25" s="222">
        <v>6000380</v>
      </c>
      <c r="D25" s="184">
        <v>-21436529259.12</v>
      </c>
      <c r="E25" s="184">
        <v>0</v>
      </c>
      <c r="F25" s="224">
        <v>70110102741</v>
      </c>
      <c r="G25" s="224">
        <v>0</v>
      </c>
      <c r="H25" s="224">
        <v>3709059172.99</v>
      </c>
      <c r="I25" s="224">
        <v>0</v>
      </c>
      <c r="J25" s="224">
        <v>30318393.91</v>
      </c>
      <c r="K25" s="224">
        <v>10246048556.94</v>
      </c>
      <c r="L25" s="223">
        <f>73849480+2</f>
        <v>73849482</v>
      </c>
      <c r="M25" s="223">
        <v>10246049</v>
      </c>
      <c r="N25" s="221">
        <f t="shared" si="1"/>
        <v>73849480307.90001</v>
      </c>
      <c r="O25" s="221">
        <f t="shared" si="1"/>
        <v>10246048556.94</v>
      </c>
      <c r="P25" s="239">
        <f>+C25+L25-M25</f>
        <v>69603813</v>
      </c>
    </row>
    <row r="26" spans="1:16" ht="11.25">
      <c r="A26" s="182">
        <v>120106</v>
      </c>
      <c r="B26" s="183" t="s">
        <v>3458</v>
      </c>
      <c r="C26" s="222">
        <v>0</v>
      </c>
      <c r="D26" s="184">
        <v>-168868987702.82</v>
      </c>
      <c r="E26" s="184">
        <v>0</v>
      </c>
      <c r="F26" s="224">
        <v>143948166055</v>
      </c>
      <c r="G26" s="224">
        <v>0</v>
      </c>
      <c r="H26" s="224">
        <v>1215450817.96</v>
      </c>
      <c r="I26" s="224">
        <v>0</v>
      </c>
      <c r="J26" s="224">
        <v>0</v>
      </c>
      <c r="K26" s="224">
        <v>921043445.96</v>
      </c>
      <c r="L26" s="223">
        <v>145163617</v>
      </c>
      <c r="M26" s="223">
        <f>921043+1</f>
        <v>921044</v>
      </c>
      <c r="N26" s="221">
        <f t="shared" si="1"/>
        <v>145163616872.96</v>
      </c>
      <c r="O26" s="221">
        <f t="shared" si="1"/>
        <v>921043445.96</v>
      </c>
      <c r="P26" s="239">
        <f>+C26+L26-M26</f>
        <v>144242573</v>
      </c>
    </row>
    <row r="27" spans="1:19" ht="11.25">
      <c r="A27" s="182">
        <v>120115</v>
      </c>
      <c r="B27" s="183" t="s">
        <v>3459</v>
      </c>
      <c r="C27" s="222"/>
      <c r="D27" s="184"/>
      <c r="E27" s="184"/>
      <c r="F27" s="224"/>
      <c r="G27" s="224"/>
      <c r="H27" s="224"/>
      <c r="I27" s="224"/>
      <c r="J27" s="224">
        <v>5111086829</v>
      </c>
      <c r="K27" s="224">
        <v>0</v>
      </c>
      <c r="L27" s="223">
        <v>5111087</v>
      </c>
      <c r="M27" s="223">
        <v>0</v>
      </c>
      <c r="N27" s="221">
        <f t="shared" si="1"/>
        <v>5111086829</v>
      </c>
      <c r="O27" s="221">
        <f t="shared" si="1"/>
        <v>0</v>
      </c>
      <c r="P27" s="239">
        <f>+C27+L27-M27</f>
        <v>5111087</v>
      </c>
      <c r="S27" s="177"/>
    </row>
    <row r="28" spans="1:19" ht="11.25">
      <c r="A28" s="182">
        <v>120190</v>
      </c>
      <c r="B28" s="183" t="s">
        <v>3460</v>
      </c>
      <c r="C28" s="222"/>
      <c r="D28" s="184"/>
      <c r="E28" s="184"/>
      <c r="F28" s="224"/>
      <c r="G28" s="224"/>
      <c r="H28" s="224"/>
      <c r="I28" s="224"/>
      <c r="J28" s="224">
        <v>388380186.98</v>
      </c>
      <c r="K28" s="224">
        <v>0</v>
      </c>
      <c r="L28" s="223">
        <v>388380</v>
      </c>
      <c r="M28" s="223">
        <v>0</v>
      </c>
      <c r="N28" s="221">
        <f t="shared" si="1"/>
        <v>388380186.98</v>
      </c>
      <c r="O28" s="221">
        <f t="shared" si="1"/>
        <v>0</v>
      </c>
      <c r="P28" s="239">
        <f>+C28+L28-M28</f>
        <v>388380</v>
      </c>
      <c r="S28" s="177"/>
    </row>
    <row r="29" spans="1:16" ht="11.25">
      <c r="A29" s="178">
        <v>120200</v>
      </c>
      <c r="B29" s="179" t="s">
        <v>3461</v>
      </c>
      <c r="C29" s="220">
        <f aca="true" t="shared" si="8" ref="C29:M29">C30</f>
        <v>0</v>
      </c>
      <c r="D29" s="220">
        <f t="shared" si="8"/>
        <v>0</v>
      </c>
      <c r="E29" s="220">
        <f t="shared" si="8"/>
        <v>0</v>
      </c>
      <c r="F29" s="220">
        <f t="shared" si="8"/>
        <v>0</v>
      </c>
      <c r="G29" s="220">
        <f t="shared" si="8"/>
        <v>0</v>
      </c>
      <c r="H29" s="220">
        <f t="shared" si="8"/>
        <v>0</v>
      </c>
      <c r="I29" s="220">
        <f t="shared" si="8"/>
        <v>0</v>
      </c>
      <c r="J29" s="220">
        <f t="shared" si="8"/>
        <v>0</v>
      </c>
      <c r="K29" s="220">
        <f t="shared" si="8"/>
        <v>0</v>
      </c>
      <c r="L29" s="220">
        <f t="shared" si="8"/>
        <v>0</v>
      </c>
      <c r="M29" s="220">
        <f t="shared" si="8"/>
        <v>0</v>
      </c>
      <c r="N29" s="221">
        <f t="shared" si="1"/>
        <v>0</v>
      </c>
      <c r="O29" s="221">
        <f t="shared" si="1"/>
        <v>0</v>
      </c>
      <c r="P29" s="238">
        <f>P30</f>
        <v>0</v>
      </c>
    </row>
    <row r="30" spans="1:16" ht="11.25">
      <c r="A30" s="182">
        <v>120290</v>
      </c>
      <c r="B30" s="183" t="s">
        <v>3462</v>
      </c>
      <c r="C30" s="222">
        <v>0</v>
      </c>
      <c r="D30" s="184">
        <v>0</v>
      </c>
      <c r="E30" s="125">
        <v>0</v>
      </c>
      <c r="F30" s="224"/>
      <c r="G30" s="224"/>
      <c r="H30" s="224"/>
      <c r="I30" s="224"/>
      <c r="J30" s="224"/>
      <c r="K30" s="224"/>
      <c r="L30" s="223">
        <v>0</v>
      </c>
      <c r="M30" s="223">
        <v>0</v>
      </c>
      <c r="N30" s="221">
        <f t="shared" si="1"/>
        <v>0</v>
      </c>
      <c r="O30" s="221">
        <f t="shared" si="1"/>
        <v>0</v>
      </c>
      <c r="P30" s="238">
        <f>+C30+L30-M30</f>
        <v>0</v>
      </c>
    </row>
    <row r="31" spans="1:16" ht="22.5">
      <c r="A31" s="178">
        <v>120700</v>
      </c>
      <c r="B31" s="179" t="s">
        <v>3463</v>
      </c>
      <c r="C31" s="220">
        <f aca="true" t="shared" si="9" ref="C31:M31">C32</f>
        <v>0</v>
      </c>
      <c r="D31" s="220">
        <f t="shared" si="9"/>
        <v>-49209000</v>
      </c>
      <c r="E31" s="220">
        <f t="shared" si="9"/>
        <v>0</v>
      </c>
      <c r="F31" s="220">
        <f t="shared" si="9"/>
        <v>0</v>
      </c>
      <c r="G31" s="220">
        <f t="shared" si="9"/>
        <v>0</v>
      </c>
      <c r="H31" s="220">
        <f t="shared" si="9"/>
        <v>0</v>
      </c>
      <c r="I31" s="220">
        <f t="shared" si="9"/>
        <v>0</v>
      </c>
      <c r="J31" s="220">
        <f t="shared" si="9"/>
        <v>0</v>
      </c>
      <c r="K31" s="220">
        <f t="shared" si="9"/>
        <v>0</v>
      </c>
      <c r="L31" s="220">
        <f t="shared" si="9"/>
        <v>0</v>
      </c>
      <c r="M31" s="220">
        <f t="shared" si="9"/>
        <v>0</v>
      </c>
      <c r="N31" s="221">
        <f t="shared" si="1"/>
        <v>0</v>
      </c>
      <c r="O31" s="221">
        <f t="shared" si="1"/>
        <v>0</v>
      </c>
      <c r="P31" s="238">
        <f>P32</f>
        <v>0</v>
      </c>
    </row>
    <row r="32" spans="1:16" ht="11.25">
      <c r="A32" s="182">
        <v>120751</v>
      </c>
      <c r="B32" s="183" t="s">
        <v>3464</v>
      </c>
      <c r="C32" s="222">
        <v>0</v>
      </c>
      <c r="D32" s="184">
        <v>-49209000</v>
      </c>
      <c r="E32" s="125">
        <v>0</v>
      </c>
      <c r="F32" s="224"/>
      <c r="G32" s="224"/>
      <c r="H32" s="224"/>
      <c r="I32" s="224"/>
      <c r="J32" s="224"/>
      <c r="K32" s="224"/>
      <c r="L32" s="223">
        <v>0</v>
      </c>
      <c r="M32" s="223">
        <v>0</v>
      </c>
      <c r="N32" s="221">
        <f t="shared" si="1"/>
        <v>0</v>
      </c>
      <c r="O32" s="221">
        <f t="shared" si="1"/>
        <v>0</v>
      </c>
      <c r="P32" s="238">
        <f>+C32+L32-M32</f>
        <v>0</v>
      </c>
    </row>
    <row r="33" spans="1:16" ht="11.25">
      <c r="A33" s="178">
        <v>120800</v>
      </c>
      <c r="B33" s="179" t="s">
        <v>3465</v>
      </c>
      <c r="C33" s="220">
        <f aca="true" t="shared" si="10" ref="C33:M33">SUM(C34:C35)</f>
        <v>0</v>
      </c>
      <c r="D33" s="220">
        <f t="shared" si="10"/>
        <v>0</v>
      </c>
      <c r="E33" s="220">
        <f t="shared" si="10"/>
        <v>0</v>
      </c>
      <c r="F33" s="220">
        <f t="shared" si="10"/>
        <v>0</v>
      </c>
      <c r="G33" s="220">
        <f t="shared" si="10"/>
        <v>0</v>
      </c>
      <c r="H33" s="220">
        <f t="shared" si="10"/>
        <v>0</v>
      </c>
      <c r="I33" s="220">
        <f t="shared" si="10"/>
        <v>0</v>
      </c>
      <c r="J33" s="220">
        <f t="shared" si="10"/>
        <v>0</v>
      </c>
      <c r="K33" s="220">
        <f t="shared" si="10"/>
        <v>0</v>
      </c>
      <c r="L33" s="220">
        <f t="shared" si="10"/>
        <v>0</v>
      </c>
      <c r="M33" s="220">
        <f t="shared" si="10"/>
        <v>0</v>
      </c>
      <c r="N33" s="221">
        <f t="shared" si="1"/>
        <v>0</v>
      </c>
      <c r="O33" s="221">
        <f t="shared" si="1"/>
        <v>0</v>
      </c>
      <c r="P33" s="238">
        <f>SUM(P34:P35)</f>
        <v>0</v>
      </c>
    </row>
    <row r="34" spans="1:19" ht="11.25">
      <c r="A34" s="182">
        <v>120802</v>
      </c>
      <c r="B34" s="183" t="s">
        <v>3466</v>
      </c>
      <c r="C34" s="222">
        <v>0</v>
      </c>
      <c r="D34" s="184">
        <v>0</v>
      </c>
      <c r="E34" s="125">
        <v>0</v>
      </c>
      <c r="F34" s="224"/>
      <c r="G34" s="224"/>
      <c r="H34" s="224"/>
      <c r="I34" s="224"/>
      <c r="J34" s="224"/>
      <c r="K34" s="224"/>
      <c r="L34" s="223">
        <v>0</v>
      </c>
      <c r="M34" s="223">
        <v>0</v>
      </c>
      <c r="N34" s="221">
        <f t="shared" si="1"/>
        <v>0</v>
      </c>
      <c r="O34" s="221">
        <f t="shared" si="1"/>
        <v>0</v>
      </c>
      <c r="P34" s="238">
        <f>+C34+L34-M34</f>
        <v>0</v>
      </c>
      <c r="S34" s="186"/>
    </row>
    <row r="35" spans="1:19" ht="11.25">
      <c r="A35" s="182">
        <v>120890</v>
      </c>
      <c r="B35" s="183" t="s">
        <v>3467</v>
      </c>
      <c r="C35" s="222">
        <v>0</v>
      </c>
      <c r="D35" s="184">
        <v>0</v>
      </c>
      <c r="E35" s="125">
        <v>0</v>
      </c>
      <c r="F35" s="224"/>
      <c r="G35" s="224"/>
      <c r="H35" s="224"/>
      <c r="I35" s="224"/>
      <c r="J35" s="224"/>
      <c r="K35" s="224"/>
      <c r="L35" s="223">
        <v>0</v>
      </c>
      <c r="M35" s="223">
        <v>0</v>
      </c>
      <c r="N35" s="221">
        <f t="shared" si="1"/>
        <v>0</v>
      </c>
      <c r="O35" s="221">
        <f t="shared" si="1"/>
        <v>0</v>
      </c>
      <c r="P35" s="238">
        <f>+C35+L35-M35</f>
        <v>0</v>
      </c>
      <c r="S35" s="186"/>
    </row>
    <row r="36" spans="1:19" ht="11.25">
      <c r="A36" s="178">
        <v>140000</v>
      </c>
      <c r="B36" s="179" t="s">
        <v>3468</v>
      </c>
      <c r="C36" s="220">
        <f aca="true" t="shared" si="11" ref="C36:M36">C37+C42+C46+C49+C51+C54+C60+C63+C66+C73</f>
        <v>509600404</v>
      </c>
      <c r="D36" s="220">
        <f t="shared" si="11"/>
        <v>28417037164.370026</v>
      </c>
      <c r="E36" s="220">
        <f t="shared" si="11"/>
        <v>0</v>
      </c>
      <c r="F36" s="220">
        <f t="shared" si="11"/>
        <v>89442844537.86</v>
      </c>
      <c r="G36" s="220">
        <f t="shared" si="11"/>
        <v>258619270784.63</v>
      </c>
      <c r="H36" s="220">
        <f t="shared" si="11"/>
        <v>63495653624.77</v>
      </c>
      <c r="I36" s="220">
        <f t="shared" si="11"/>
        <v>35994126590.11</v>
      </c>
      <c r="J36" s="220">
        <f t="shared" si="11"/>
        <v>329681843994.13</v>
      </c>
      <c r="K36" s="220">
        <f t="shared" si="11"/>
        <v>459431535318.76996</v>
      </c>
      <c r="L36" s="220">
        <f t="shared" si="11"/>
        <v>482620342</v>
      </c>
      <c r="M36" s="220">
        <f t="shared" si="11"/>
        <v>754044933</v>
      </c>
      <c r="N36" s="221">
        <f t="shared" si="1"/>
        <v>482620342156.76</v>
      </c>
      <c r="O36" s="221">
        <f t="shared" si="1"/>
        <v>754044932693.51</v>
      </c>
      <c r="P36" s="238">
        <f>P37+P42+P46+P49+P51+P54+P60+P63+P66+P73</f>
        <v>238175812</v>
      </c>
      <c r="S36" s="186"/>
    </row>
    <row r="37" spans="1:19" ht="11.25">
      <c r="A37" s="178">
        <v>140100</v>
      </c>
      <c r="B37" s="185" t="s">
        <v>3469</v>
      </c>
      <c r="C37" s="220">
        <f aca="true" t="shared" si="12" ref="C37:M37">SUM(C38:C41)</f>
        <v>0</v>
      </c>
      <c r="D37" s="220">
        <f t="shared" si="12"/>
        <v>0</v>
      </c>
      <c r="E37" s="220">
        <f t="shared" si="12"/>
        <v>0</v>
      </c>
      <c r="F37" s="220">
        <f t="shared" si="12"/>
        <v>0</v>
      </c>
      <c r="G37" s="220">
        <f t="shared" si="12"/>
        <v>0</v>
      </c>
      <c r="H37" s="220">
        <f t="shared" si="12"/>
        <v>0</v>
      </c>
      <c r="I37" s="220">
        <f t="shared" si="12"/>
        <v>0</v>
      </c>
      <c r="J37" s="220">
        <f t="shared" si="12"/>
        <v>378573702.03999996</v>
      </c>
      <c r="K37" s="220">
        <f t="shared" si="12"/>
        <v>378573702.03999996</v>
      </c>
      <c r="L37" s="220">
        <f t="shared" si="12"/>
        <v>378573</v>
      </c>
      <c r="M37" s="220">
        <f t="shared" si="12"/>
        <v>378573</v>
      </c>
      <c r="N37" s="221">
        <f t="shared" si="1"/>
        <v>378573702.03999996</v>
      </c>
      <c r="O37" s="221">
        <f t="shared" si="1"/>
        <v>378573702.03999996</v>
      </c>
      <c r="P37" s="238">
        <f>SUM(P38:P41)</f>
        <v>0</v>
      </c>
      <c r="S37" s="186"/>
    </row>
    <row r="38" spans="1:19" ht="11.25">
      <c r="A38" s="182">
        <v>140101</v>
      </c>
      <c r="B38" s="187" t="s">
        <v>3470</v>
      </c>
      <c r="C38" s="222">
        <v>0</v>
      </c>
      <c r="D38" s="184">
        <v>0</v>
      </c>
      <c r="E38" s="184">
        <v>0</v>
      </c>
      <c r="F38" s="224"/>
      <c r="G38" s="224"/>
      <c r="H38" s="224"/>
      <c r="I38" s="224"/>
      <c r="J38" s="224">
        <v>213316322.04</v>
      </c>
      <c r="K38" s="224">
        <v>213316322.04</v>
      </c>
      <c r="L38" s="223">
        <v>213316</v>
      </c>
      <c r="M38" s="223">
        <v>213316</v>
      </c>
      <c r="N38" s="221">
        <f t="shared" si="1"/>
        <v>213316322.04</v>
      </c>
      <c r="O38" s="221">
        <f t="shared" si="1"/>
        <v>213316322.04</v>
      </c>
      <c r="P38" s="238">
        <f>+C38+L38-M38</f>
        <v>0</v>
      </c>
      <c r="S38" s="186"/>
    </row>
    <row r="39" spans="1:19" ht="11.25">
      <c r="A39" s="182">
        <v>140102</v>
      </c>
      <c r="B39" s="187" t="s">
        <v>3471</v>
      </c>
      <c r="C39" s="222">
        <v>0</v>
      </c>
      <c r="D39" s="184">
        <v>0</v>
      </c>
      <c r="E39" s="184">
        <v>0</v>
      </c>
      <c r="F39" s="224"/>
      <c r="G39" s="224"/>
      <c r="H39" s="224"/>
      <c r="I39" s="224"/>
      <c r="J39" s="224">
        <v>136000</v>
      </c>
      <c r="K39" s="224">
        <v>136000</v>
      </c>
      <c r="L39" s="223">
        <v>136</v>
      </c>
      <c r="M39" s="223">
        <v>136</v>
      </c>
      <c r="N39" s="221">
        <f t="shared" si="1"/>
        <v>136000</v>
      </c>
      <c r="O39" s="221">
        <f t="shared" si="1"/>
        <v>136000</v>
      </c>
      <c r="P39" s="238">
        <f>+C39+L39-M39</f>
        <v>0</v>
      </c>
      <c r="S39" s="186"/>
    </row>
    <row r="40" spans="1:19" ht="11.25">
      <c r="A40" s="182">
        <v>140113</v>
      </c>
      <c r="B40" s="187" t="s">
        <v>3472</v>
      </c>
      <c r="C40" s="222">
        <v>0</v>
      </c>
      <c r="D40" s="184">
        <v>0</v>
      </c>
      <c r="E40" s="184">
        <v>0</v>
      </c>
      <c r="F40" s="224"/>
      <c r="G40" s="224"/>
      <c r="H40" s="224"/>
      <c r="I40" s="224"/>
      <c r="J40" s="224">
        <v>165121380</v>
      </c>
      <c r="K40" s="224">
        <v>165121380</v>
      </c>
      <c r="L40" s="223">
        <v>165121</v>
      </c>
      <c r="M40" s="223">
        <v>165121</v>
      </c>
      <c r="N40" s="221">
        <f t="shared" si="1"/>
        <v>165121380</v>
      </c>
      <c r="O40" s="221">
        <f t="shared" si="1"/>
        <v>165121380</v>
      </c>
      <c r="P40" s="238">
        <f>+C40+L40-M40</f>
        <v>0</v>
      </c>
      <c r="S40" s="149"/>
    </row>
    <row r="41" spans="1:19" ht="11.25">
      <c r="A41" s="182">
        <v>140190</v>
      </c>
      <c r="B41" s="183" t="s">
        <v>3473</v>
      </c>
      <c r="C41" s="222">
        <v>0</v>
      </c>
      <c r="D41" s="184">
        <v>0</v>
      </c>
      <c r="E41" s="125">
        <v>0</v>
      </c>
      <c r="F41" s="224"/>
      <c r="G41" s="224"/>
      <c r="H41" s="224"/>
      <c r="I41" s="224"/>
      <c r="J41" s="224"/>
      <c r="K41" s="224"/>
      <c r="L41" s="223">
        <v>0</v>
      </c>
      <c r="M41" s="223">
        <v>0</v>
      </c>
      <c r="N41" s="221">
        <f t="shared" si="1"/>
        <v>0</v>
      </c>
      <c r="O41" s="221">
        <f t="shared" si="1"/>
        <v>0</v>
      </c>
      <c r="P41" s="238">
        <f>+C41+L41-M41</f>
        <v>0</v>
      </c>
      <c r="S41" s="149"/>
    </row>
    <row r="42" spans="1:16" ht="11.25">
      <c r="A42" s="178">
        <v>140400</v>
      </c>
      <c r="B42" s="179" t="s">
        <v>3452</v>
      </c>
      <c r="C42" s="220">
        <f aca="true" t="shared" si="13" ref="C42:M42">SUM(C43:C45)</f>
        <v>868472</v>
      </c>
      <c r="D42" s="220">
        <f t="shared" si="13"/>
        <v>868472</v>
      </c>
      <c r="E42" s="220">
        <f t="shared" si="13"/>
        <v>0</v>
      </c>
      <c r="F42" s="220">
        <f t="shared" si="13"/>
        <v>19321874735.12</v>
      </c>
      <c r="G42" s="220">
        <f t="shared" si="13"/>
        <v>20190347185.63</v>
      </c>
      <c r="H42" s="220">
        <f t="shared" si="13"/>
        <v>0</v>
      </c>
      <c r="I42" s="220">
        <f t="shared" si="13"/>
        <v>0</v>
      </c>
      <c r="J42" s="220">
        <f t="shared" si="13"/>
        <v>41767775466.44</v>
      </c>
      <c r="K42" s="220">
        <f t="shared" si="13"/>
        <v>39008922638.75</v>
      </c>
      <c r="L42" s="220">
        <f t="shared" si="13"/>
        <v>61089650</v>
      </c>
      <c r="M42" s="220">
        <f t="shared" si="13"/>
        <v>59199270</v>
      </c>
      <c r="N42" s="221">
        <f t="shared" si="1"/>
        <v>61089650201.56</v>
      </c>
      <c r="O42" s="221">
        <f t="shared" si="1"/>
        <v>59199269824.380005</v>
      </c>
      <c r="P42" s="238">
        <f>SUM(P43:P45)</f>
        <v>2758852</v>
      </c>
    </row>
    <row r="43" spans="1:16" ht="11.25">
      <c r="A43" s="182">
        <v>140414</v>
      </c>
      <c r="B43" s="183" t="s">
        <v>3474</v>
      </c>
      <c r="C43" s="222">
        <v>868472</v>
      </c>
      <c r="D43" s="184">
        <v>868472</v>
      </c>
      <c r="E43" s="125">
        <v>0</v>
      </c>
      <c r="F43" s="224">
        <v>18329929743.12</v>
      </c>
      <c r="G43" s="224">
        <v>19198402193.63</v>
      </c>
      <c r="H43" s="224"/>
      <c r="I43" s="224"/>
      <c r="J43" s="224">
        <v>40866394184.44</v>
      </c>
      <c r="K43" s="224">
        <v>38107541356.75</v>
      </c>
      <c r="L43" s="223">
        <v>59196324</v>
      </c>
      <c r="M43" s="223">
        <v>57305944</v>
      </c>
      <c r="N43" s="221">
        <f t="shared" si="1"/>
        <v>59196323927.56</v>
      </c>
      <c r="O43" s="221">
        <f t="shared" si="1"/>
        <v>57305943550.380005</v>
      </c>
      <c r="P43" s="239">
        <f>+C43+L43-M43</f>
        <v>2758852</v>
      </c>
    </row>
    <row r="44" spans="1:16" ht="11.25">
      <c r="A44" s="182">
        <v>140415</v>
      </c>
      <c r="B44" s="183" t="s">
        <v>3475</v>
      </c>
      <c r="C44" s="222">
        <v>0</v>
      </c>
      <c r="D44" s="184">
        <v>0</v>
      </c>
      <c r="E44" s="125">
        <v>0</v>
      </c>
      <c r="F44" s="224"/>
      <c r="G44" s="224"/>
      <c r="H44" s="224"/>
      <c r="I44" s="224"/>
      <c r="J44" s="224"/>
      <c r="K44" s="224"/>
      <c r="L44" s="223">
        <v>0</v>
      </c>
      <c r="M44" s="223">
        <v>0</v>
      </c>
      <c r="N44" s="221">
        <f t="shared" si="1"/>
        <v>0</v>
      </c>
      <c r="O44" s="221">
        <f t="shared" si="1"/>
        <v>0</v>
      </c>
      <c r="P44" s="238">
        <f>+C44+L44-M44</f>
        <v>0</v>
      </c>
    </row>
    <row r="45" spans="1:16" ht="22.5">
      <c r="A45" s="182">
        <v>140442</v>
      </c>
      <c r="B45" s="183" t="s">
        <v>3476</v>
      </c>
      <c r="C45" s="222">
        <v>0</v>
      </c>
      <c r="D45" s="184">
        <v>0</v>
      </c>
      <c r="E45" s="125">
        <v>0</v>
      </c>
      <c r="F45" s="224">
        <v>991944992</v>
      </c>
      <c r="G45" s="224">
        <v>991944992</v>
      </c>
      <c r="H45" s="224"/>
      <c r="I45" s="224"/>
      <c r="J45" s="224">
        <v>901381282</v>
      </c>
      <c r="K45" s="224">
        <v>901381282</v>
      </c>
      <c r="L45" s="223">
        <v>1893326</v>
      </c>
      <c r="M45" s="223">
        <v>1893326</v>
      </c>
      <c r="N45" s="221">
        <f t="shared" si="1"/>
        <v>1893326274</v>
      </c>
      <c r="O45" s="221">
        <f t="shared" si="1"/>
        <v>1893326274</v>
      </c>
      <c r="P45" s="238">
        <f>+C45+L45-M45</f>
        <v>0</v>
      </c>
    </row>
    <row r="46" spans="1:16" ht="11.25">
      <c r="A46" s="178">
        <v>140700</v>
      </c>
      <c r="B46" s="179" t="s">
        <v>3477</v>
      </c>
      <c r="C46" s="220">
        <f aca="true" t="shared" si="14" ref="C46:M46">SUM(C47:C48)</f>
        <v>0</v>
      </c>
      <c r="D46" s="220">
        <f t="shared" si="14"/>
        <v>0</v>
      </c>
      <c r="E46" s="220">
        <f t="shared" si="14"/>
        <v>0</v>
      </c>
      <c r="F46" s="220">
        <f t="shared" si="14"/>
        <v>0</v>
      </c>
      <c r="G46" s="220">
        <f t="shared" si="14"/>
        <v>0</v>
      </c>
      <c r="H46" s="220">
        <f t="shared" si="14"/>
        <v>0</v>
      </c>
      <c r="I46" s="220">
        <f t="shared" si="14"/>
        <v>0</v>
      </c>
      <c r="J46" s="220">
        <f t="shared" si="14"/>
        <v>0</v>
      </c>
      <c r="K46" s="220">
        <f t="shared" si="14"/>
        <v>0</v>
      </c>
      <c r="L46" s="220">
        <f t="shared" si="14"/>
        <v>0</v>
      </c>
      <c r="M46" s="220">
        <f t="shared" si="14"/>
        <v>0</v>
      </c>
      <c r="N46" s="221">
        <f t="shared" si="1"/>
        <v>0</v>
      </c>
      <c r="O46" s="221">
        <f t="shared" si="1"/>
        <v>0</v>
      </c>
      <c r="P46" s="238">
        <f>SUM(P47:P48)</f>
        <v>0</v>
      </c>
    </row>
    <row r="47" spans="1:16" ht="11.25">
      <c r="A47" s="182">
        <v>140701</v>
      </c>
      <c r="B47" s="183" t="s">
        <v>3478</v>
      </c>
      <c r="C47" s="222">
        <v>0</v>
      </c>
      <c r="D47" s="184">
        <v>0</v>
      </c>
      <c r="E47" s="125">
        <v>0</v>
      </c>
      <c r="F47" s="224"/>
      <c r="G47" s="224"/>
      <c r="H47" s="224"/>
      <c r="I47" s="224"/>
      <c r="J47" s="224"/>
      <c r="K47" s="224"/>
      <c r="L47" s="223">
        <v>0</v>
      </c>
      <c r="M47" s="223">
        <v>0</v>
      </c>
      <c r="N47" s="221">
        <f t="shared" si="1"/>
        <v>0</v>
      </c>
      <c r="O47" s="221">
        <f t="shared" si="1"/>
        <v>0</v>
      </c>
      <c r="P47" s="238">
        <f>+C47+L47-M47</f>
        <v>0</v>
      </c>
    </row>
    <row r="48" spans="1:16" ht="11.25">
      <c r="A48" s="182">
        <v>140790</v>
      </c>
      <c r="B48" s="183" t="s">
        <v>3479</v>
      </c>
      <c r="C48" s="222">
        <v>0</v>
      </c>
      <c r="D48" s="184">
        <v>0</v>
      </c>
      <c r="E48" s="125">
        <v>0</v>
      </c>
      <c r="F48" s="224"/>
      <c r="G48" s="224"/>
      <c r="H48" s="224"/>
      <c r="I48" s="224"/>
      <c r="J48" s="224"/>
      <c r="K48" s="224"/>
      <c r="L48" s="223">
        <v>0</v>
      </c>
      <c r="M48" s="223">
        <v>0</v>
      </c>
      <c r="N48" s="221">
        <f t="shared" si="1"/>
        <v>0</v>
      </c>
      <c r="O48" s="221">
        <f t="shared" si="1"/>
        <v>0</v>
      </c>
      <c r="P48" s="238">
        <f>+C48+L48-M48</f>
        <v>0</v>
      </c>
    </row>
    <row r="49" spans="1:16" ht="11.25">
      <c r="A49" s="178">
        <v>141300</v>
      </c>
      <c r="B49" s="179" t="s">
        <v>3480</v>
      </c>
      <c r="C49" s="220">
        <f aca="true" t="shared" si="15" ref="C49:M49">C50</f>
        <v>0</v>
      </c>
      <c r="D49" s="220">
        <f t="shared" si="15"/>
        <v>-162109473</v>
      </c>
      <c r="E49" s="220">
        <f t="shared" si="15"/>
        <v>0</v>
      </c>
      <c r="F49" s="220">
        <f t="shared" si="15"/>
        <v>0</v>
      </c>
      <c r="G49" s="220">
        <f t="shared" si="15"/>
        <v>0</v>
      </c>
      <c r="H49" s="220">
        <f t="shared" si="15"/>
        <v>0</v>
      </c>
      <c r="I49" s="220">
        <f t="shared" si="15"/>
        <v>0</v>
      </c>
      <c r="J49" s="220">
        <f t="shared" si="15"/>
        <v>0</v>
      </c>
      <c r="K49" s="220">
        <f t="shared" si="15"/>
        <v>0</v>
      </c>
      <c r="L49" s="220">
        <f t="shared" si="15"/>
        <v>0</v>
      </c>
      <c r="M49" s="220">
        <f t="shared" si="15"/>
        <v>0</v>
      </c>
      <c r="N49" s="221">
        <f t="shared" si="1"/>
        <v>0</v>
      </c>
      <c r="O49" s="221">
        <f t="shared" si="1"/>
        <v>0</v>
      </c>
      <c r="P49" s="238">
        <f>P50</f>
        <v>0</v>
      </c>
    </row>
    <row r="50" spans="1:16" ht="11.25">
      <c r="A50" s="182">
        <v>141303</v>
      </c>
      <c r="B50" s="183" t="s">
        <v>3481</v>
      </c>
      <c r="C50" s="222">
        <v>0</v>
      </c>
      <c r="D50" s="184">
        <v>-162109473</v>
      </c>
      <c r="E50" s="125">
        <v>0</v>
      </c>
      <c r="F50" s="224"/>
      <c r="G50" s="224"/>
      <c r="H50" s="224"/>
      <c r="I50" s="224"/>
      <c r="J50" s="224"/>
      <c r="K50" s="224"/>
      <c r="L50" s="223">
        <v>0</v>
      </c>
      <c r="M50" s="223">
        <v>0</v>
      </c>
      <c r="N50" s="221">
        <f t="shared" si="1"/>
        <v>0</v>
      </c>
      <c r="O50" s="221">
        <f t="shared" si="1"/>
        <v>0</v>
      </c>
      <c r="P50" s="238">
        <f>+C50+L50-M50</f>
        <v>0</v>
      </c>
    </row>
    <row r="51" spans="1:16" ht="11.25">
      <c r="A51" s="178">
        <v>141500</v>
      </c>
      <c r="B51" s="179" t="s">
        <v>3482</v>
      </c>
      <c r="C51" s="220">
        <f aca="true" t="shared" si="16" ref="C51:M51">SUM(C52:C53)</f>
        <v>0</v>
      </c>
      <c r="D51" s="220">
        <f t="shared" si="16"/>
        <v>0</v>
      </c>
      <c r="E51" s="220">
        <f t="shared" si="16"/>
        <v>0</v>
      </c>
      <c r="F51" s="220">
        <f t="shared" si="16"/>
        <v>0</v>
      </c>
      <c r="G51" s="220">
        <f t="shared" si="16"/>
        <v>0</v>
      </c>
      <c r="H51" s="220">
        <f t="shared" si="16"/>
        <v>0</v>
      </c>
      <c r="I51" s="220">
        <f t="shared" si="16"/>
        <v>0</v>
      </c>
      <c r="J51" s="220">
        <f t="shared" si="16"/>
        <v>0</v>
      </c>
      <c r="K51" s="220">
        <f t="shared" si="16"/>
        <v>0</v>
      </c>
      <c r="L51" s="220">
        <f t="shared" si="16"/>
        <v>0</v>
      </c>
      <c r="M51" s="220">
        <f t="shared" si="16"/>
        <v>0</v>
      </c>
      <c r="N51" s="221">
        <f t="shared" si="1"/>
        <v>0</v>
      </c>
      <c r="O51" s="221">
        <f t="shared" si="1"/>
        <v>0</v>
      </c>
      <c r="P51" s="238">
        <f>SUM(P52:P53)</f>
        <v>0</v>
      </c>
    </row>
    <row r="52" spans="1:16" ht="11.25">
      <c r="A52" s="182">
        <v>141507</v>
      </c>
      <c r="B52" s="183" t="s">
        <v>3483</v>
      </c>
      <c r="C52" s="222">
        <v>0</v>
      </c>
      <c r="D52" s="184">
        <v>0</v>
      </c>
      <c r="E52" s="125">
        <v>0</v>
      </c>
      <c r="F52" s="224"/>
      <c r="G52" s="224"/>
      <c r="H52" s="224"/>
      <c r="I52" s="224"/>
      <c r="J52" s="224"/>
      <c r="K52" s="224"/>
      <c r="L52" s="223">
        <v>0</v>
      </c>
      <c r="M52" s="223">
        <v>0</v>
      </c>
      <c r="N52" s="221">
        <f t="shared" si="1"/>
        <v>0</v>
      </c>
      <c r="O52" s="221">
        <f t="shared" si="1"/>
        <v>0</v>
      </c>
      <c r="P52" s="238">
        <f>+C52+L52-M52</f>
        <v>0</v>
      </c>
    </row>
    <row r="53" spans="1:16" ht="11.25">
      <c r="A53" s="182">
        <v>141590</v>
      </c>
      <c r="B53" s="183" t="s">
        <v>3484</v>
      </c>
      <c r="C53" s="222">
        <v>0</v>
      </c>
      <c r="D53" s="184">
        <v>0</v>
      </c>
      <c r="E53" s="125">
        <v>0</v>
      </c>
      <c r="F53" s="224"/>
      <c r="G53" s="224"/>
      <c r="H53" s="224"/>
      <c r="I53" s="224"/>
      <c r="J53" s="224"/>
      <c r="K53" s="224"/>
      <c r="L53" s="223">
        <v>0</v>
      </c>
      <c r="M53" s="223">
        <v>0</v>
      </c>
      <c r="N53" s="221">
        <f t="shared" si="1"/>
        <v>0</v>
      </c>
      <c r="O53" s="221">
        <f t="shared" si="1"/>
        <v>0</v>
      </c>
      <c r="P53" s="238">
        <f>+C53+L53-M53</f>
        <v>0</v>
      </c>
    </row>
    <row r="54" spans="1:16" ht="11.25">
      <c r="A54" s="178">
        <v>142000</v>
      </c>
      <c r="B54" s="179" t="s">
        <v>3485</v>
      </c>
      <c r="C54" s="220">
        <f aca="true" t="shared" si="17" ref="C54:M54">SUM(C55:C59)</f>
        <v>129000069</v>
      </c>
      <c r="D54" s="220">
        <f t="shared" si="17"/>
        <v>-135090123814.79001</v>
      </c>
      <c r="E54" s="220">
        <f t="shared" si="17"/>
        <v>0</v>
      </c>
      <c r="F54" s="220">
        <f t="shared" si="17"/>
        <v>3117235437</v>
      </c>
      <c r="G54" s="220">
        <f t="shared" si="17"/>
        <v>21195247800.93</v>
      </c>
      <c r="H54" s="220">
        <f t="shared" si="17"/>
        <v>25164162128</v>
      </c>
      <c r="I54" s="220">
        <f t="shared" si="17"/>
        <v>5136500000</v>
      </c>
      <c r="J54" s="220">
        <f t="shared" si="17"/>
        <v>58780702074.5</v>
      </c>
      <c r="K54" s="220">
        <f t="shared" si="17"/>
        <v>169308189447.81</v>
      </c>
      <c r="L54" s="220">
        <f t="shared" si="17"/>
        <v>87062099</v>
      </c>
      <c r="M54" s="220">
        <f t="shared" si="17"/>
        <v>195639937</v>
      </c>
      <c r="N54" s="221">
        <f t="shared" si="1"/>
        <v>87062099639.5</v>
      </c>
      <c r="O54" s="221">
        <f t="shared" si="1"/>
        <v>195639937248.74</v>
      </c>
      <c r="P54" s="238">
        <f>SUM(P55:P59)</f>
        <v>20422231</v>
      </c>
    </row>
    <row r="55" spans="1:16" ht="11.25">
      <c r="A55" s="182">
        <v>142003</v>
      </c>
      <c r="B55" s="183" t="s">
        <v>3486</v>
      </c>
      <c r="C55" s="222">
        <v>69057148</v>
      </c>
      <c r="D55" s="184">
        <v>2641901745.37</v>
      </c>
      <c r="E55" s="184">
        <v>0</v>
      </c>
      <c r="F55" s="224">
        <v>1110235437</v>
      </c>
      <c r="G55" s="224">
        <v>6456138062</v>
      </c>
      <c r="H55" s="224">
        <v>6000405016</v>
      </c>
      <c r="I55" s="224">
        <v>0</v>
      </c>
      <c r="J55" s="224">
        <v>8159981925</v>
      </c>
      <c r="K55" s="224">
        <v>63165849263.31</v>
      </c>
      <c r="L55" s="223">
        <v>15270622</v>
      </c>
      <c r="M55" s="223">
        <v>69621987</v>
      </c>
      <c r="N55" s="221">
        <f t="shared" si="1"/>
        <v>15270622378</v>
      </c>
      <c r="O55" s="221">
        <f t="shared" si="1"/>
        <v>69621987325.31</v>
      </c>
      <c r="P55" s="239">
        <f>+C55+L55-M55</f>
        <v>14705783</v>
      </c>
    </row>
    <row r="56" spans="1:16" ht="11.25">
      <c r="A56" s="182">
        <v>142005</v>
      </c>
      <c r="B56" s="183" t="s">
        <v>3487</v>
      </c>
      <c r="C56" s="222">
        <v>59942921</v>
      </c>
      <c r="D56" s="184">
        <v>-137724175560.16</v>
      </c>
      <c r="E56" s="184">
        <v>0</v>
      </c>
      <c r="F56" s="224">
        <v>2007000000</v>
      </c>
      <c r="G56" s="224">
        <v>14739109738.93</v>
      </c>
      <c r="H56" s="224">
        <v>19163757112</v>
      </c>
      <c r="I56" s="224">
        <v>5136500000</v>
      </c>
      <c r="J56" s="224">
        <v>50620720149.5</v>
      </c>
      <c r="K56" s="224">
        <v>106142340184.5</v>
      </c>
      <c r="L56" s="223">
        <v>71791477</v>
      </c>
      <c r="M56" s="223">
        <v>126017950</v>
      </c>
      <c r="N56" s="221">
        <f t="shared" si="1"/>
        <v>71791477261.5</v>
      </c>
      <c r="O56" s="221">
        <f t="shared" si="1"/>
        <v>126017949923.43</v>
      </c>
      <c r="P56" s="239">
        <f>+C56+L56-M56</f>
        <v>5716448</v>
      </c>
    </row>
    <row r="57" spans="1:16" ht="11.25">
      <c r="A57" s="182">
        <v>142012</v>
      </c>
      <c r="B57" s="183" t="s">
        <v>3488</v>
      </c>
      <c r="C57" s="222">
        <v>0</v>
      </c>
      <c r="D57" s="184">
        <v>-7850000</v>
      </c>
      <c r="E57" s="125">
        <v>0</v>
      </c>
      <c r="F57" s="224"/>
      <c r="G57" s="224"/>
      <c r="H57" s="224"/>
      <c r="I57" s="224"/>
      <c r="J57" s="224"/>
      <c r="K57" s="224"/>
      <c r="L57" s="223">
        <v>0</v>
      </c>
      <c r="M57" s="223">
        <v>0</v>
      </c>
      <c r="N57" s="221">
        <f t="shared" si="1"/>
        <v>0</v>
      </c>
      <c r="O57" s="221">
        <f t="shared" si="1"/>
        <v>0</v>
      </c>
      <c r="P57" s="238">
        <f>+C57+L57-M57</f>
        <v>0</v>
      </c>
    </row>
    <row r="58" spans="1:16" ht="11.25">
      <c r="A58" s="182">
        <v>142013</v>
      </c>
      <c r="B58" s="183" t="s">
        <v>3489</v>
      </c>
      <c r="C58" s="222">
        <v>0</v>
      </c>
      <c r="D58" s="184">
        <v>0</v>
      </c>
      <c r="E58" s="125">
        <v>0</v>
      </c>
      <c r="F58" s="224"/>
      <c r="G58" s="224"/>
      <c r="H58" s="224"/>
      <c r="I58" s="224"/>
      <c r="J58" s="224"/>
      <c r="K58" s="224"/>
      <c r="L58" s="223">
        <v>0</v>
      </c>
      <c r="M58" s="223">
        <v>0</v>
      </c>
      <c r="N58" s="221">
        <f t="shared" si="1"/>
        <v>0</v>
      </c>
      <c r="O58" s="221">
        <f t="shared" si="1"/>
        <v>0</v>
      </c>
      <c r="P58" s="238">
        <f>+C58+L58-M58</f>
        <v>0</v>
      </c>
    </row>
    <row r="59" spans="1:16" ht="11.25">
      <c r="A59" s="182">
        <v>142090</v>
      </c>
      <c r="B59" s="183" t="s">
        <v>3490</v>
      </c>
      <c r="C59" s="222">
        <v>0</v>
      </c>
      <c r="D59" s="184">
        <v>0</v>
      </c>
      <c r="E59" s="125">
        <v>0</v>
      </c>
      <c r="F59" s="224"/>
      <c r="G59" s="224"/>
      <c r="H59" s="224"/>
      <c r="I59" s="224"/>
      <c r="J59" s="224"/>
      <c r="K59" s="224"/>
      <c r="L59" s="223">
        <v>0</v>
      </c>
      <c r="M59" s="223">
        <v>0</v>
      </c>
      <c r="N59" s="221">
        <f t="shared" si="1"/>
        <v>0</v>
      </c>
      <c r="O59" s="221">
        <f t="shared" si="1"/>
        <v>0</v>
      </c>
      <c r="P59" s="238">
        <f>+C59+L59-M59</f>
        <v>0</v>
      </c>
    </row>
    <row r="60" spans="1:16" ht="11.25">
      <c r="A60" s="178">
        <v>142200</v>
      </c>
      <c r="B60" s="179" t="s">
        <v>3491</v>
      </c>
      <c r="C60" s="220">
        <f aca="true" t="shared" si="18" ref="C60:M60">SUM(C61:C62)</f>
        <v>0</v>
      </c>
      <c r="D60" s="220">
        <f t="shared" si="18"/>
        <v>0</v>
      </c>
      <c r="E60" s="220">
        <f t="shared" si="18"/>
        <v>0</v>
      </c>
      <c r="F60" s="220">
        <f t="shared" si="18"/>
        <v>0</v>
      </c>
      <c r="G60" s="220">
        <f t="shared" si="18"/>
        <v>0</v>
      </c>
      <c r="H60" s="220">
        <f t="shared" si="18"/>
        <v>0</v>
      </c>
      <c r="I60" s="220">
        <f t="shared" si="18"/>
        <v>0</v>
      </c>
      <c r="J60" s="220">
        <f t="shared" si="18"/>
        <v>0</v>
      </c>
      <c r="K60" s="220">
        <f t="shared" si="18"/>
        <v>0</v>
      </c>
      <c r="L60" s="220">
        <f t="shared" si="18"/>
        <v>0</v>
      </c>
      <c r="M60" s="220">
        <f t="shared" si="18"/>
        <v>0</v>
      </c>
      <c r="N60" s="221">
        <f t="shared" si="1"/>
        <v>0</v>
      </c>
      <c r="O60" s="221">
        <f t="shared" si="1"/>
        <v>0</v>
      </c>
      <c r="P60" s="238">
        <f>SUM(P61:P62)</f>
        <v>0</v>
      </c>
    </row>
    <row r="61" spans="1:16" ht="11.25">
      <c r="A61" s="182">
        <v>142204</v>
      </c>
      <c r="B61" s="183" t="s">
        <v>3492</v>
      </c>
      <c r="C61" s="222"/>
      <c r="D61" s="184"/>
      <c r="E61" s="184"/>
      <c r="F61" s="224"/>
      <c r="G61" s="224"/>
      <c r="H61" s="224"/>
      <c r="I61" s="224"/>
      <c r="J61" s="224"/>
      <c r="K61" s="224"/>
      <c r="L61" s="223">
        <v>0</v>
      </c>
      <c r="M61" s="223">
        <v>0</v>
      </c>
      <c r="N61" s="221">
        <f t="shared" si="1"/>
        <v>0</v>
      </c>
      <c r="O61" s="221">
        <f t="shared" si="1"/>
        <v>0</v>
      </c>
      <c r="P61" s="238">
        <f>+C61+L61-M61</f>
        <v>0</v>
      </c>
    </row>
    <row r="62" spans="1:16" ht="11.25">
      <c r="A62" s="182">
        <v>142250</v>
      </c>
      <c r="B62" s="183" t="s">
        <v>3493</v>
      </c>
      <c r="C62" s="222">
        <v>0</v>
      </c>
      <c r="D62" s="184">
        <v>0</v>
      </c>
      <c r="E62" s="125">
        <v>0</v>
      </c>
      <c r="F62" s="224"/>
      <c r="G62" s="224"/>
      <c r="H62" s="224"/>
      <c r="I62" s="224"/>
      <c r="J62" s="224"/>
      <c r="K62" s="224"/>
      <c r="L62" s="223">
        <v>0</v>
      </c>
      <c r="M62" s="223">
        <v>0</v>
      </c>
      <c r="N62" s="221">
        <f t="shared" si="1"/>
        <v>0</v>
      </c>
      <c r="O62" s="221">
        <f t="shared" si="1"/>
        <v>0</v>
      </c>
      <c r="P62" s="238">
        <f>+C62+L62-M62</f>
        <v>0</v>
      </c>
    </row>
    <row r="63" spans="1:16" ht="11.25">
      <c r="A63" s="178">
        <v>142500</v>
      </c>
      <c r="B63" s="179" t="s">
        <v>3494</v>
      </c>
      <c r="C63" s="220">
        <v>374438073</v>
      </c>
      <c r="D63" s="220">
        <f aca="true" t="shared" si="19" ref="D63:M63">SUM(D64:D65)</f>
        <v>163661277530.16003</v>
      </c>
      <c r="E63" s="220">
        <f t="shared" si="19"/>
        <v>0</v>
      </c>
      <c r="F63" s="220">
        <f t="shared" si="19"/>
        <v>67003734365.74</v>
      </c>
      <c r="G63" s="220">
        <f t="shared" si="19"/>
        <v>217233675798.07</v>
      </c>
      <c r="H63" s="220">
        <f t="shared" si="19"/>
        <v>38331491496.77</v>
      </c>
      <c r="I63" s="220">
        <f t="shared" si="19"/>
        <v>30857626590.11</v>
      </c>
      <c r="J63" s="220">
        <f t="shared" si="19"/>
        <v>227304785360.59</v>
      </c>
      <c r="K63" s="220">
        <f t="shared" si="19"/>
        <v>249280444540.61</v>
      </c>
      <c r="L63" s="220">
        <f t="shared" si="19"/>
        <v>332640012</v>
      </c>
      <c r="M63" s="220">
        <f t="shared" si="19"/>
        <v>497371747</v>
      </c>
      <c r="N63" s="221">
        <f t="shared" si="1"/>
        <v>332640011223.1</v>
      </c>
      <c r="O63" s="221">
        <f t="shared" si="1"/>
        <v>497371746928.79</v>
      </c>
      <c r="P63" s="238">
        <f>SUM(P64:P65)</f>
        <v>209706337</v>
      </c>
    </row>
    <row r="64" spans="1:16" ht="11.25">
      <c r="A64" s="182">
        <v>142503</v>
      </c>
      <c r="B64" s="183" t="s">
        <v>3495</v>
      </c>
      <c r="C64" s="222">
        <v>103236220</v>
      </c>
      <c r="D64" s="184">
        <v>5563505929.1</v>
      </c>
      <c r="E64" s="184">
        <v>0</v>
      </c>
      <c r="F64" s="224">
        <v>1238217000</v>
      </c>
      <c r="G64" s="224">
        <v>520647400</v>
      </c>
      <c r="H64" s="224">
        <v>1915690834.78</v>
      </c>
      <c r="I64" s="224">
        <v>203142570</v>
      </c>
      <c r="J64" s="224">
        <v>10333105599</v>
      </c>
      <c r="K64" s="224">
        <v>22050248683.27</v>
      </c>
      <c r="L64" s="223">
        <f>13487013+1</f>
        <v>13487014</v>
      </c>
      <c r="M64" s="223">
        <v>22774039</v>
      </c>
      <c r="N64" s="221">
        <f t="shared" si="1"/>
        <v>13487013433.779999</v>
      </c>
      <c r="O64" s="221">
        <f t="shared" si="1"/>
        <v>22774038653.27</v>
      </c>
      <c r="P64" s="239">
        <f>+C64+L64-M64</f>
        <v>93949195</v>
      </c>
    </row>
    <row r="65" spans="1:16" ht="11.25">
      <c r="A65" s="182">
        <v>142504</v>
      </c>
      <c r="B65" s="183" t="s">
        <v>3496</v>
      </c>
      <c r="C65" s="222">
        <v>271201852</v>
      </c>
      <c r="D65" s="184">
        <v>158097771601.06003</v>
      </c>
      <c r="E65" s="184">
        <v>0</v>
      </c>
      <c r="F65" s="224">
        <v>65765517365.74</v>
      </c>
      <c r="G65" s="224">
        <v>216713028398.07</v>
      </c>
      <c r="H65" s="224">
        <v>36415800661.99</v>
      </c>
      <c r="I65" s="224">
        <v>30654484020.11</v>
      </c>
      <c r="J65" s="224">
        <v>216971679761.59</v>
      </c>
      <c r="K65" s="224">
        <v>227230195857.34</v>
      </c>
      <c r="L65" s="223">
        <v>319152998</v>
      </c>
      <c r="M65" s="223">
        <v>474597708</v>
      </c>
      <c r="N65" s="221">
        <f t="shared" si="1"/>
        <v>319152997789.32</v>
      </c>
      <c r="O65" s="221">
        <f t="shared" si="1"/>
        <v>474597708275.52</v>
      </c>
      <c r="P65" s="239">
        <f>+C65+L65-M65</f>
        <v>115757142</v>
      </c>
    </row>
    <row r="66" spans="1:16" ht="11.25">
      <c r="A66" s="178">
        <v>147000</v>
      </c>
      <c r="B66" s="179" t="s">
        <v>3497</v>
      </c>
      <c r="C66" s="220">
        <f aca="true" t="shared" si="20" ref="C66:M66">SUM(C67:C72)</f>
        <v>5293790</v>
      </c>
      <c r="D66" s="220">
        <f t="shared" si="20"/>
        <v>5293790</v>
      </c>
      <c r="E66" s="220">
        <f t="shared" si="20"/>
        <v>0</v>
      </c>
      <c r="F66" s="220">
        <f t="shared" si="20"/>
        <v>0</v>
      </c>
      <c r="G66" s="220">
        <f t="shared" si="20"/>
        <v>0</v>
      </c>
      <c r="H66" s="220">
        <f t="shared" si="20"/>
        <v>0</v>
      </c>
      <c r="I66" s="220">
        <f t="shared" si="20"/>
        <v>0</v>
      </c>
      <c r="J66" s="220">
        <f t="shared" si="20"/>
        <v>1450007390.5600002</v>
      </c>
      <c r="K66" s="220">
        <f t="shared" si="20"/>
        <v>1455404989.56</v>
      </c>
      <c r="L66" s="220">
        <f t="shared" si="20"/>
        <v>1450008</v>
      </c>
      <c r="M66" s="220">
        <f t="shared" si="20"/>
        <v>1455406</v>
      </c>
      <c r="N66" s="221">
        <f t="shared" si="1"/>
        <v>1450007390.5600002</v>
      </c>
      <c r="O66" s="221">
        <f t="shared" si="1"/>
        <v>1455404989.56</v>
      </c>
      <c r="P66" s="238">
        <f>SUM(P67:P72)</f>
        <v>5288392</v>
      </c>
    </row>
    <row r="67" spans="1:16" ht="11.25">
      <c r="A67" s="182">
        <v>147002</v>
      </c>
      <c r="B67" s="183" t="s">
        <v>3498</v>
      </c>
      <c r="C67" s="222">
        <v>0</v>
      </c>
      <c r="D67" s="184">
        <v>0</v>
      </c>
      <c r="E67" s="184">
        <v>0</v>
      </c>
      <c r="F67" s="224"/>
      <c r="G67" s="224"/>
      <c r="H67" s="224"/>
      <c r="I67" s="224"/>
      <c r="J67" s="224"/>
      <c r="K67" s="224"/>
      <c r="L67" s="223">
        <v>0</v>
      </c>
      <c r="M67" s="223">
        <v>0</v>
      </c>
      <c r="N67" s="221">
        <f t="shared" si="1"/>
        <v>0</v>
      </c>
      <c r="O67" s="221">
        <f t="shared" si="1"/>
        <v>0</v>
      </c>
      <c r="P67" s="238">
        <f aca="true" t="shared" si="21" ref="P67:P72">+C67+L67-M67</f>
        <v>0</v>
      </c>
    </row>
    <row r="68" spans="1:16" ht="11.25">
      <c r="A68" s="182">
        <v>147006</v>
      </c>
      <c r="B68" s="183" t="s">
        <v>3499</v>
      </c>
      <c r="C68" s="222">
        <v>0</v>
      </c>
      <c r="D68" s="184">
        <v>0</v>
      </c>
      <c r="E68" s="184">
        <v>0</v>
      </c>
      <c r="F68" s="224"/>
      <c r="G68" s="224"/>
      <c r="H68" s="224"/>
      <c r="I68" s="224"/>
      <c r="J68" s="224"/>
      <c r="K68" s="224"/>
      <c r="L68" s="223">
        <v>0</v>
      </c>
      <c r="M68" s="223">
        <v>0</v>
      </c>
      <c r="N68" s="221">
        <f t="shared" si="1"/>
        <v>0</v>
      </c>
      <c r="O68" s="221">
        <f t="shared" si="1"/>
        <v>0</v>
      </c>
      <c r="P68" s="238">
        <f t="shared" si="21"/>
        <v>0</v>
      </c>
    </row>
    <row r="69" spans="1:16" ht="11.25">
      <c r="A69" s="182">
        <v>147013</v>
      </c>
      <c r="B69" s="183" t="s">
        <v>3500</v>
      </c>
      <c r="C69" s="222">
        <v>0</v>
      </c>
      <c r="D69" s="184">
        <v>0</v>
      </c>
      <c r="E69" s="184">
        <v>0</v>
      </c>
      <c r="F69" s="224"/>
      <c r="G69" s="224"/>
      <c r="H69" s="224"/>
      <c r="I69" s="224"/>
      <c r="J69" s="224"/>
      <c r="K69" s="224"/>
      <c r="L69" s="223">
        <v>0</v>
      </c>
      <c r="M69" s="223">
        <v>0</v>
      </c>
      <c r="N69" s="221">
        <f t="shared" si="1"/>
        <v>0</v>
      </c>
      <c r="O69" s="221">
        <f t="shared" si="1"/>
        <v>0</v>
      </c>
      <c r="P69" s="238">
        <f t="shared" si="21"/>
        <v>0</v>
      </c>
    </row>
    <row r="70" spans="1:16" ht="22.5">
      <c r="A70" s="182">
        <v>147028</v>
      </c>
      <c r="B70" s="183" t="s">
        <v>3501</v>
      </c>
      <c r="C70" s="222">
        <v>0</v>
      </c>
      <c r="D70" s="184">
        <v>0</v>
      </c>
      <c r="E70" s="184">
        <v>0</v>
      </c>
      <c r="F70" s="224"/>
      <c r="G70" s="224"/>
      <c r="H70" s="224"/>
      <c r="I70" s="224"/>
      <c r="J70" s="224"/>
      <c r="K70" s="224"/>
      <c r="L70" s="223">
        <v>0</v>
      </c>
      <c r="M70" s="223">
        <v>0</v>
      </c>
      <c r="N70" s="221">
        <f t="shared" si="1"/>
        <v>0</v>
      </c>
      <c r="O70" s="221">
        <f t="shared" si="1"/>
        <v>0</v>
      </c>
      <c r="P70" s="238">
        <f t="shared" si="21"/>
        <v>0</v>
      </c>
    </row>
    <row r="71" spans="1:16" ht="11.25">
      <c r="A71" s="182">
        <v>147064</v>
      </c>
      <c r="B71" s="183" t="s">
        <v>3502</v>
      </c>
      <c r="C71" s="222">
        <v>5398</v>
      </c>
      <c r="D71" s="184">
        <v>5398</v>
      </c>
      <c r="E71" s="184">
        <v>0</v>
      </c>
      <c r="F71" s="224"/>
      <c r="G71" s="224"/>
      <c r="H71" s="224"/>
      <c r="I71" s="224"/>
      <c r="J71" s="224">
        <v>102596</v>
      </c>
      <c r="K71" s="224">
        <v>5397599</v>
      </c>
      <c r="L71" s="223">
        <v>103</v>
      </c>
      <c r="M71" s="223">
        <v>5398</v>
      </c>
      <c r="N71" s="221">
        <f t="shared" si="1"/>
        <v>102596</v>
      </c>
      <c r="O71" s="221">
        <f t="shared" si="1"/>
        <v>5397599</v>
      </c>
      <c r="P71" s="239">
        <f t="shared" si="21"/>
        <v>103</v>
      </c>
    </row>
    <row r="72" spans="1:16" ht="11.25">
      <c r="A72" s="182">
        <v>147090</v>
      </c>
      <c r="B72" s="183" t="s">
        <v>3503</v>
      </c>
      <c r="C72" s="222">
        <v>5288392</v>
      </c>
      <c r="D72" s="184">
        <v>5288392</v>
      </c>
      <c r="E72" s="184">
        <v>0</v>
      </c>
      <c r="F72" s="224"/>
      <c r="G72" s="224"/>
      <c r="H72" s="224"/>
      <c r="I72" s="224"/>
      <c r="J72" s="224">
        <v>1449904794.5600002</v>
      </c>
      <c r="K72" s="224">
        <v>1450007390.56</v>
      </c>
      <c r="L72" s="223">
        <v>1449905</v>
      </c>
      <c r="M72" s="223">
        <f>1450007+1</f>
        <v>1450008</v>
      </c>
      <c r="N72" s="221">
        <f t="shared" si="1"/>
        <v>1449904794.5600002</v>
      </c>
      <c r="O72" s="221">
        <f t="shared" si="1"/>
        <v>1450007390.56</v>
      </c>
      <c r="P72" s="239">
        <f t="shared" si="21"/>
        <v>5288289</v>
      </c>
    </row>
    <row r="73" spans="1:16" ht="11.25">
      <c r="A73" s="178">
        <v>148000</v>
      </c>
      <c r="B73" s="179" t="s">
        <v>3504</v>
      </c>
      <c r="C73" s="220">
        <f aca="true" t="shared" si="22" ref="C73:M73">SUM(C74:C77)</f>
        <v>0</v>
      </c>
      <c r="D73" s="220">
        <f t="shared" si="22"/>
        <v>1830660</v>
      </c>
      <c r="E73" s="220">
        <f t="shared" si="22"/>
        <v>0</v>
      </c>
      <c r="F73" s="220">
        <f t="shared" si="22"/>
        <v>0</v>
      </c>
      <c r="G73" s="220">
        <f t="shared" si="22"/>
        <v>0</v>
      </c>
      <c r="H73" s="220">
        <f t="shared" si="22"/>
        <v>0</v>
      </c>
      <c r="I73" s="220">
        <f t="shared" si="22"/>
        <v>0</v>
      </c>
      <c r="J73" s="220">
        <f t="shared" si="22"/>
        <v>0</v>
      </c>
      <c r="K73" s="220">
        <f t="shared" si="22"/>
        <v>0</v>
      </c>
      <c r="L73" s="220">
        <f t="shared" si="22"/>
        <v>0</v>
      </c>
      <c r="M73" s="220">
        <f t="shared" si="22"/>
        <v>0</v>
      </c>
      <c r="N73" s="221">
        <f t="shared" si="1"/>
        <v>0</v>
      </c>
      <c r="O73" s="221">
        <f t="shared" si="1"/>
        <v>0</v>
      </c>
      <c r="P73" s="238">
        <f>SUM(P74:P77)</f>
        <v>0</v>
      </c>
    </row>
    <row r="74" spans="1:16" ht="11.25">
      <c r="A74" s="182">
        <v>148006</v>
      </c>
      <c r="B74" s="183" t="s">
        <v>3505</v>
      </c>
      <c r="C74" s="222">
        <v>0</v>
      </c>
      <c r="D74" s="184">
        <v>0</v>
      </c>
      <c r="E74" s="125">
        <v>0</v>
      </c>
      <c r="F74" s="224"/>
      <c r="G74" s="224"/>
      <c r="H74" s="224"/>
      <c r="I74" s="224"/>
      <c r="J74" s="224"/>
      <c r="K74" s="224"/>
      <c r="L74" s="223">
        <v>0</v>
      </c>
      <c r="M74" s="223">
        <v>0</v>
      </c>
      <c r="N74" s="221">
        <f t="shared" si="1"/>
        <v>0</v>
      </c>
      <c r="O74" s="221">
        <f t="shared" si="1"/>
        <v>0</v>
      </c>
      <c r="P74" s="238">
        <f>+C74+L74-M74</f>
        <v>0</v>
      </c>
    </row>
    <row r="75" spans="1:16" ht="11.25">
      <c r="A75" s="182">
        <v>148009</v>
      </c>
      <c r="B75" s="183" t="s">
        <v>3506</v>
      </c>
      <c r="C75" s="222">
        <v>0</v>
      </c>
      <c r="D75" s="184">
        <v>0</v>
      </c>
      <c r="E75" s="125">
        <v>0</v>
      </c>
      <c r="F75" s="224"/>
      <c r="G75" s="224"/>
      <c r="H75" s="224"/>
      <c r="I75" s="224"/>
      <c r="J75" s="224"/>
      <c r="K75" s="224"/>
      <c r="L75" s="223">
        <v>0</v>
      </c>
      <c r="M75" s="223">
        <v>0</v>
      </c>
      <c r="N75" s="221">
        <f aca="true" t="shared" si="23" ref="N75:O138">+F75+H75+J75</f>
        <v>0</v>
      </c>
      <c r="O75" s="221">
        <f t="shared" si="23"/>
        <v>0</v>
      </c>
      <c r="P75" s="238">
        <f>+C75+L75-M75</f>
        <v>0</v>
      </c>
    </row>
    <row r="76" spans="1:16" ht="11.25">
      <c r="A76" s="182">
        <v>148012</v>
      </c>
      <c r="B76" s="183" t="s">
        <v>3507</v>
      </c>
      <c r="C76" s="222">
        <v>0</v>
      </c>
      <c r="D76" s="184">
        <v>1830660</v>
      </c>
      <c r="E76" s="125">
        <v>0</v>
      </c>
      <c r="F76" s="224"/>
      <c r="G76" s="224"/>
      <c r="H76" s="224"/>
      <c r="I76" s="224"/>
      <c r="J76" s="224"/>
      <c r="K76" s="224"/>
      <c r="L76" s="223">
        <v>0</v>
      </c>
      <c r="M76" s="223">
        <v>0</v>
      </c>
      <c r="N76" s="221">
        <f t="shared" si="23"/>
        <v>0</v>
      </c>
      <c r="O76" s="221">
        <f t="shared" si="23"/>
        <v>0</v>
      </c>
      <c r="P76" s="238">
        <f>+C76+L76-M76</f>
        <v>0</v>
      </c>
    </row>
    <row r="77" spans="1:16" ht="11.25">
      <c r="A77" s="182">
        <v>148090</v>
      </c>
      <c r="B77" s="183" t="s">
        <v>3508</v>
      </c>
      <c r="C77" s="222">
        <v>0</v>
      </c>
      <c r="D77" s="184">
        <v>0</v>
      </c>
      <c r="E77" s="184">
        <v>0</v>
      </c>
      <c r="F77" s="224"/>
      <c r="G77" s="224"/>
      <c r="H77" s="224"/>
      <c r="I77" s="224"/>
      <c r="J77" s="224"/>
      <c r="K77" s="224"/>
      <c r="L77" s="223">
        <v>0</v>
      </c>
      <c r="M77" s="223">
        <v>0</v>
      </c>
      <c r="N77" s="221">
        <f t="shared" si="23"/>
        <v>0</v>
      </c>
      <c r="O77" s="221">
        <f t="shared" si="23"/>
        <v>0</v>
      </c>
      <c r="P77" s="238">
        <f>+C77+L77-M77</f>
        <v>0</v>
      </c>
    </row>
    <row r="78" spans="1:16" ht="11.25">
      <c r="A78" s="178">
        <v>160000</v>
      </c>
      <c r="B78" s="179" t="s">
        <v>3509</v>
      </c>
      <c r="C78" s="220">
        <f aca="true" t="shared" si="24" ref="C78:M78">C79+C82+C87+C89+C92+C100+C104+C114+C119+C124+C130+C133+C136</f>
        <v>12016089</v>
      </c>
      <c r="D78" s="220">
        <f t="shared" si="24"/>
        <v>0</v>
      </c>
      <c r="E78" s="220">
        <f t="shared" si="24"/>
        <v>-3028337919.2699995</v>
      </c>
      <c r="F78" s="220">
        <f t="shared" si="24"/>
        <v>144842074</v>
      </c>
      <c r="G78" s="220">
        <f t="shared" si="24"/>
        <v>263125585</v>
      </c>
      <c r="H78" s="220">
        <f t="shared" si="24"/>
        <v>5797945693</v>
      </c>
      <c r="I78" s="220">
        <f t="shared" si="24"/>
        <v>5922950244</v>
      </c>
      <c r="J78" s="220">
        <f t="shared" si="24"/>
        <v>8019421517.37</v>
      </c>
      <c r="K78" s="220">
        <f t="shared" si="24"/>
        <v>8434106134.799999</v>
      </c>
      <c r="L78" s="220">
        <f t="shared" si="24"/>
        <v>13962212</v>
      </c>
      <c r="M78" s="220">
        <f t="shared" si="24"/>
        <v>14620184</v>
      </c>
      <c r="N78" s="221">
        <f t="shared" si="23"/>
        <v>13962209284.369999</v>
      </c>
      <c r="O78" s="221">
        <f t="shared" si="23"/>
        <v>14620181963.8</v>
      </c>
      <c r="P78" s="238">
        <f>P79+P82+P87+P89+P92+P100+P104+P114+P119+P124+P130+P133+P136</f>
        <v>11358117</v>
      </c>
    </row>
    <row r="79" spans="1:16" ht="11.25">
      <c r="A79" s="178">
        <v>160500</v>
      </c>
      <c r="B79" s="179" t="s">
        <v>3510</v>
      </c>
      <c r="C79" s="220">
        <f aca="true" t="shared" si="25" ref="C79:M79">SUM(C80:C81)</f>
        <v>5287997</v>
      </c>
      <c r="D79" s="220">
        <f t="shared" si="25"/>
        <v>0</v>
      </c>
      <c r="E79" s="220">
        <f t="shared" si="25"/>
        <v>5287997</v>
      </c>
      <c r="F79" s="220">
        <f t="shared" si="25"/>
        <v>0</v>
      </c>
      <c r="G79" s="220">
        <f t="shared" si="25"/>
        <v>0</v>
      </c>
      <c r="H79" s="220">
        <f t="shared" si="25"/>
        <v>0</v>
      </c>
      <c r="I79" s="220">
        <f t="shared" si="25"/>
        <v>0</v>
      </c>
      <c r="J79" s="220">
        <f t="shared" si="25"/>
        <v>0</v>
      </c>
      <c r="K79" s="220">
        <f t="shared" si="25"/>
        <v>845517600</v>
      </c>
      <c r="L79" s="220">
        <f t="shared" si="25"/>
        <v>0</v>
      </c>
      <c r="M79" s="220">
        <f t="shared" si="25"/>
        <v>845518</v>
      </c>
      <c r="N79" s="221">
        <f t="shared" si="23"/>
        <v>0</v>
      </c>
      <c r="O79" s="221">
        <f t="shared" si="23"/>
        <v>845517600</v>
      </c>
      <c r="P79" s="238">
        <f>SUM(P80:P81)</f>
        <v>4442479</v>
      </c>
    </row>
    <row r="80" spans="1:16" ht="11.25">
      <c r="A80" s="182">
        <v>160501</v>
      </c>
      <c r="B80" s="183" t="s">
        <v>3511</v>
      </c>
      <c r="C80" s="222">
        <v>4585430</v>
      </c>
      <c r="D80" s="188">
        <v>0</v>
      </c>
      <c r="E80" s="188">
        <v>4585430</v>
      </c>
      <c r="F80" s="224"/>
      <c r="G80" s="224"/>
      <c r="H80" s="224"/>
      <c r="I80" s="224"/>
      <c r="J80" s="224">
        <v>0</v>
      </c>
      <c r="K80" s="224">
        <v>142950600</v>
      </c>
      <c r="L80" s="223">
        <v>0</v>
      </c>
      <c r="M80" s="223">
        <v>142951</v>
      </c>
      <c r="N80" s="221">
        <f t="shared" si="23"/>
        <v>0</v>
      </c>
      <c r="O80" s="221">
        <f t="shared" si="23"/>
        <v>142950600</v>
      </c>
      <c r="P80" s="239">
        <f>+C80+L80-M80</f>
        <v>4442479</v>
      </c>
    </row>
    <row r="81" spans="1:16" ht="11.25">
      <c r="A81" s="182">
        <v>160502</v>
      </c>
      <c r="B81" s="183" t="s">
        <v>3512</v>
      </c>
      <c r="C81" s="222">
        <v>702567</v>
      </c>
      <c r="D81" s="188">
        <v>0</v>
      </c>
      <c r="E81" s="188">
        <v>702567</v>
      </c>
      <c r="F81" s="224"/>
      <c r="G81" s="224"/>
      <c r="H81" s="224"/>
      <c r="I81" s="224"/>
      <c r="J81" s="224">
        <v>0</v>
      </c>
      <c r="K81" s="224">
        <v>702567000</v>
      </c>
      <c r="L81" s="223">
        <v>0</v>
      </c>
      <c r="M81" s="223">
        <v>702567</v>
      </c>
      <c r="N81" s="221">
        <f t="shared" si="23"/>
        <v>0</v>
      </c>
      <c r="O81" s="221">
        <f t="shared" si="23"/>
        <v>702567000</v>
      </c>
      <c r="P81" s="238">
        <f>+C81+L81-M81</f>
        <v>0</v>
      </c>
    </row>
    <row r="82" spans="1:16" ht="11.25">
      <c r="A82" s="178">
        <v>161500</v>
      </c>
      <c r="B82" s="179" t="s">
        <v>3513</v>
      </c>
      <c r="C82" s="220">
        <f aca="true" t="shared" si="26" ref="C82:M82">SUM(C83:C86)</f>
        <v>1200000</v>
      </c>
      <c r="D82" s="220">
        <f t="shared" si="26"/>
        <v>0</v>
      </c>
      <c r="E82" s="220">
        <f t="shared" si="26"/>
        <v>0</v>
      </c>
      <c r="F82" s="220">
        <f t="shared" si="26"/>
        <v>0</v>
      </c>
      <c r="G82" s="220">
        <f t="shared" si="26"/>
        <v>0</v>
      </c>
      <c r="H82" s="220">
        <f t="shared" si="26"/>
        <v>0</v>
      </c>
      <c r="I82" s="220">
        <f t="shared" si="26"/>
        <v>0</v>
      </c>
      <c r="J82" s="220">
        <f t="shared" si="26"/>
        <v>734331654.08</v>
      </c>
      <c r="K82" s="220">
        <f t="shared" si="26"/>
        <v>0</v>
      </c>
      <c r="L82" s="220">
        <f t="shared" si="26"/>
        <v>734332</v>
      </c>
      <c r="M82" s="220">
        <f t="shared" si="26"/>
        <v>0</v>
      </c>
      <c r="N82" s="221">
        <f t="shared" si="23"/>
        <v>734331654.08</v>
      </c>
      <c r="O82" s="221">
        <f t="shared" si="23"/>
        <v>0</v>
      </c>
      <c r="P82" s="238">
        <f>SUM(P83:P86)</f>
        <v>1934332</v>
      </c>
    </row>
    <row r="83" spans="1:16" ht="11.25">
      <c r="A83" s="182">
        <v>161501</v>
      </c>
      <c r="B83" s="183" t="s">
        <v>3514</v>
      </c>
      <c r="C83" s="222">
        <v>0</v>
      </c>
      <c r="D83" s="188">
        <v>0</v>
      </c>
      <c r="E83" s="188">
        <v>0</v>
      </c>
      <c r="F83" s="224"/>
      <c r="G83" s="224"/>
      <c r="H83" s="224"/>
      <c r="I83" s="224"/>
      <c r="J83" s="224"/>
      <c r="K83" s="224"/>
      <c r="L83" s="223">
        <v>0</v>
      </c>
      <c r="M83" s="223">
        <v>0</v>
      </c>
      <c r="N83" s="221">
        <f t="shared" si="23"/>
        <v>0</v>
      </c>
      <c r="O83" s="221">
        <f t="shared" si="23"/>
        <v>0</v>
      </c>
      <c r="P83" s="238">
        <f>+C83+L83-M83</f>
        <v>0</v>
      </c>
    </row>
    <row r="84" spans="1:16" ht="11.25">
      <c r="A84" s="182">
        <v>161502</v>
      </c>
      <c r="B84" s="183"/>
      <c r="C84" s="222">
        <v>1200000</v>
      </c>
      <c r="D84" s="188"/>
      <c r="E84" s="188"/>
      <c r="F84" s="224"/>
      <c r="G84" s="224"/>
      <c r="H84" s="224"/>
      <c r="I84" s="224"/>
      <c r="J84" s="224">
        <v>734331654.08</v>
      </c>
      <c r="K84" s="224">
        <v>0</v>
      </c>
      <c r="L84" s="223">
        <v>734332</v>
      </c>
      <c r="M84" s="223">
        <v>0</v>
      </c>
      <c r="N84" s="221">
        <f t="shared" si="23"/>
        <v>734331654.08</v>
      </c>
      <c r="O84" s="221">
        <f t="shared" si="23"/>
        <v>0</v>
      </c>
      <c r="P84" s="239">
        <f>+C84+L84-M84</f>
        <v>1934332</v>
      </c>
    </row>
    <row r="85" spans="1:16" ht="11.25">
      <c r="A85" s="182">
        <v>161505</v>
      </c>
      <c r="B85" s="183" t="s">
        <v>3516</v>
      </c>
      <c r="C85" s="222">
        <v>0</v>
      </c>
      <c r="D85" s="188">
        <v>0</v>
      </c>
      <c r="E85" s="188">
        <v>0</v>
      </c>
      <c r="F85" s="224"/>
      <c r="G85" s="224"/>
      <c r="H85" s="224"/>
      <c r="I85" s="224"/>
      <c r="J85" s="224"/>
      <c r="K85" s="224"/>
      <c r="L85" s="223">
        <v>0</v>
      </c>
      <c r="M85" s="223">
        <v>0</v>
      </c>
      <c r="N85" s="221">
        <f t="shared" si="23"/>
        <v>0</v>
      </c>
      <c r="O85" s="221">
        <f t="shared" si="23"/>
        <v>0</v>
      </c>
      <c r="P85" s="238">
        <f>+C85+L85-M85</f>
        <v>0</v>
      </c>
    </row>
    <row r="86" spans="1:16" ht="11.25">
      <c r="A86" s="182">
        <v>161590</v>
      </c>
      <c r="B86" s="183" t="s">
        <v>3517</v>
      </c>
      <c r="C86" s="222">
        <v>0</v>
      </c>
      <c r="D86" s="188">
        <v>0</v>
      </c>
      <c r="E86" s="188">
        <v>0</v>
      </c>
      <c r="F86" s="224"/>
      <c r="G86" s="224"/>
      <c r="H86" s="224"/>
      <c r="I86" s="224"/>
      <c r="J86" s="224"/>
      <c r="K86" s="224"/>
      <c r="L86" s="223">
        <v>0</v>
      </c>
      <c r="M86" s="223">
        <v>0</v>
      </c>
      <c r="N86" s="221">
        <f t="shared" si="23"/>
        <v>0</v>
      </c>
      <c r="O86" s="221">
        <f t="shared" si="23"/>
        <v>0</v>
      </c>
      <c r="P86" s="238">
        <f>+C86+L86-M86</f>
        <v>0</v>
      </c>
    </row>
    <row r="87" spans="1:16" ht="11.25">
      <c r="A87" s="178">
        <v>162000</v>
      </c>
      <c r="B87" s="179" t="s">
        <v>3518</v>
      </c>
      <c r="C87" s="220">
        <f aca="true" t="shared" si="27" ref="C87:M87">C88</f>
        <v>0</v>
      </c>
      <c r="D87" s="220">
        <f t="shared" si="27"/>
        <v>0</v>
      </c>
      <c r="E87" s="220">
        <f t="shared" si="27"/>
        <v>0</v>
      </c>
      <c r="F87" s="220">
        <f t="shared" si="27"/>
        <v>0</v>
      </c>
      <c r="G87" s="220">
        <f t="shared" si="27"/>
        <v>0</v>
      </c>
      <c r="H87" s="220">
        <f t="shared" si="27"/>
        <v>0</v>
      </c>
      <c r="I87" s="220">
        <f t="shared" si="27"/>
        <v>0</v>
      </c>
      <c r="J87" s="220">
        <f t="shared" si="27"/>
        <v>0</v>
      </c>
      <c r="K87" s="220">
        <f t="shared" si="27"/>
        <v>0</v>
      </c>
      <c r="L87" s="220">
        <f t="shared" si="27"/>
        <v>0</v>
      </c>
      <c r="M87" s="220">
        <f t="shared" si="27"/>
        <v>0</v>
      </c>
      <c r="N87" s="221">
        <f t="shared" si="23"/>
        <v>0</v>
      </c>
      <c r="O87" s="221">
        <f t="shared" si="23"/>
        <v>0</v>
      </c>
      <c r="P87" s="238">
        <f>P88</f>
        <v>0</v>
      </c>
    </row>
    <row r="88" spans="1:16" ht="11.25">
      <c r="A88" s="182">
        <v>162005</v>
      </c>
      <c r="B88" s="183" t="s">
        <v>3519</v>
      </c>
      <c r="C88" s="222">
        <v>0</v>
      </c>
      <c r="D88" s="188">
        <v>0</v>
      </c>
      <c r="E88" s="188">
        <v>0</v>
      </c>
      <c r="F88" s="224"/>
      <c r="G88" s="224"/>
      <c r="H88" s="224"/>
      <c r="I88" s="224"/>
      <c r="J88" s="224"/>
      <c r="K88" s="224"/>
      <c r="L88" s="223">
        <v>0</v>
      </c>
      <c r="M88" s="223">
        <v>0</v>
      </c>
      <c r="N88" s="221">
        <f t="shared" si="23"/>
        <v>0</v>
      </c>
      <c r="O88" s="221">
        <f t="shared" si="23"/>
        <v>0</v>
      </c>
      <c r="P88" s="238">
        <f>+C88+L88-M88</f>
        <v>0</v>
      </c>
    </row>
    <row r="89" spans="1:16" ht="22.5">
      <c r="A89" s="178">
        <v>162500</v>
      </c>
      <c r="B89" s="179" t="s">
        <v>3520</v>
      </c>
      <c r="C89" s="220">
        <f aca="true" t="shared" si="28" ref="C89:M89">SUM(C90:C91)</f>
        <v>0</v>
      </c>
      <c r="D89" s="220">
        <f t="shared" si="28"/>
        <v>0</v>
      </c>
      <c r="E89" s="220">
        <f t="shared" si="28"/>
        <v>0</v>
      </c>
      <c r="F89" s="220">
        <f t="shared" si="28"/>
        <v>0</v>
      </c>
      <c r="G89" s="220">
        <f t="shared" si="28"/>
        <v>0</v>
      </c>
      <c r="H89" s="220">
        <f t="shared" si="28"/>
        <v>0</v>
      </c>
      <c r="I89" s="220">
        <f t="shared" si="28"/>
        <v>0</v>
      </c>
      <c r="J89" s="220">
        <f t="shared" si="28"/>
        <v>0</v>
      </c>
      <c r="K89" s="220">
        <f t="shared" si="28"/>
        <v>0</v>
      </c>
      <c r="L89" s="220">
        <f t="shared" si="28"/>
        <v>0</v>
      </c>
      <c r="M89" s="220">
        <f t="shared" si="28"/>
        <v>0</v>
      </c>
      <c r="N89" s="221">
        <f t="shared" si="23"/>
        <v>0</v>
      </c>
      <c r="O89" s="221">
        <f t="shared" si="23"/>
        <v>0</v>
      </c>
      <c r="P89" s="238">
        <f>SUM(P90:P91)</f>
        <v>0</v>
      </c>
    </row>
    <row r="90" spans="1:16" ht="11.25">
      <c r="A90" s="182">
        <v>162505</v>
      </c>
      <c r="B90" s="183" t="s">
        <v>3521</v>
      </c>
      <c r="C90" s="222">
        <v>0</v>
      </c>
      <c r="D90" s="188">
        <v>0</v>
      </c>
      <c r="E90" s="188">
        <v>0</v>
      </c>
      <c r="F90" s="224"/>
      <c r="G90" s="224"/>
      <c r="H90" s="224"/>
      <c r="I90" s="224"/>
      <c r="J90" s="224"/>
      <c r="K90" s="224"/>
      <c r="L90" s="223">
        <v>0</v>
      </c>
      <c r="M90" s="223">
        <v>0</v>
      </c>
      <c r="N90" s="221">
        <f t="shared" si="23"/>
        <v>0</v>
      </c>
      <c r="O90" s="221">
        <f t="shared" si="23"/>
        <v>0</v>
      </c>
      <c r="P90" s="238">
        <f>+C90+L90-M90</f>
        <v>0</v>
      </c>
    </row>
    <row r="91" spans="1:16" ht="11.25">
      <c r="A91" s="182">
        <v>162507</v>
      </c>
      <c r="B91" s="183" t="s">
        <v>3522</v>
      </c>
      <c r="C91" s="222">
        <v>0</v>
      </c>
      <c r="D91" s="188">
        <v>0</v>
      </c>
      <c r="E91" s="188">
        <v>0</v>
      </c>
      <c r="F91" s="224"/>
      <c r="G91" s="224"/>
      <c r="H91" s="224"/>
      <c r="I91" s="224"/>
      <c r="J91" s="224"/>
      <c r="K91" s="224"/>
      <c r="L91" s="223">
        <v>0</v>
      </c>
      <c r="M91" s="223">
        <v>0</v>
      </c>
      <c r="N91" s="221">
        <f t="shared" si="23"/>
        <v>0</v>
      </c>
      <c r="O91" s="221">
        <f t="shared" si="23"/>
        <v>0</v>
      </c>
      <c r="P91" s="238">
        <f>+C91+L91-M91</f>
        <v>0</v>
      </c>
    </row>
    <row r="92" spans="1:16" ht="11.25">
      <c r="A92" s="178">
        <v>163500</v>
      </c>
      <c r="B92" s="185" t="s">
        <v>3523</v>
      </c>
      <c r="C92" s="220">
        <f aca="true" t="shared" si="29" ref="C92:M92">SUM(C93:C99)</f>
        <v>1074039</v>
      </c>
      <c r="D92" s="220">
        <f t="shared" si="29"/>
        <v>0</v>
      </c>
      <c r="E92" s="220">
        <f t="shared" si="29"/>
        <v>-315161530.14</v>
      </c>
      <c r="F92" s="220">
        <f t="shared" si="29"/>
        <v>106447824</v>
      </c>
      <c r="G92" s="220">
        <f t="shared" si="29"/>
        <v>42913847</v>
      </c>
      <c r="H92" s="220">
        <f t="shared" si="29"/>
        <v>40655878</v>
      </c>
      <c r="I92" s="220">
        <f t="shared" si="29"/>
        <v>31688961</v>
      </c>
      <c r="J92" s="220">
        <f t="shared" si="29"/>
        <v>1037737773.6</v>
      </c>
      <c r="K92" s="220">
        <f t="shared" si="29"/>
        <v>989119823.6</v>
      </c>
      <c r="L92" s="220">
        <f t="shared" si="29"/>
        <v>1184840</v>
      </c>
      <c r="M92" s="220">
        <f t="shared" si="29"/>
        <v>1063723</v>
      </c>
      <c r="N92" s="221">
        <f t="shared" si="23"/>
        <v>1184841475.6</v>
      </c>
      <c r="O92" s="221">
        <f t="shared" si="23"/>
        <v>1063722631.6</v>
      </c>
      <c r="P92" s="238">
        <f>SUM(P93:P99)</f>
        <v>1195156</v>
      </c>
    </row>
    <row r="93" spans="1:16" ht="11.25">
      <c r="A93" s="182">
        <v>163501</v>
      </c>
      <c r="B93" s="183" t="s">
        <v>3524</v>
      </c>
      <c r="C93" s="222">
        <v>0</v>
      </c>
      <c r="D93" s="188">
        <v>0</v>
      </c>
      <c r="E93" s="188">
        <v>-443556</v>
      </c>
      <c r="F93" s="224"/>
      <c r="G93" s="224"/>
      <c r="H93" s="224"/>
      <c r="I93" s="224"/>
      <c r="J93" s="224"/>
      <c r="K93" s="224"/>
      <c r="L93" s="223">
        <v>0</v>
      </c>
      <c r="M93" s="223">
        <v>0</v>
      </c>
      <c r="N93" s="221">
        <f t="shared" si="23"/>
        <v>0</v>
      </c>
      <c r="O93" s="221">
        <f t="shared" si="23"/>
        <v>0</v>
      </c>
      <c r="P93" s="238">
        <f aca="true" t="shared" si="30" ref="P93:P99">+C93+L93-M93</f>
        <v>0</v>
      </c>
    </row>
    <row r="94" spans="1:16" ht="11.25">
      <c r="A94" s="182">
        <v>163502</v>
      </c>
      <c r="B94" s="183" t="s">
        <v>3525</v>
      </c>
      <c r="C94" s="222">
        <v>0</v>
      </c>
      <c r="D94" s="188">
        <v>0</v>
      </c>
      <c r="E94" s="188">
        <v>0</v>
      </c>
      <c r="F94" s="224"/>
      <c r="G94" s="224"/>
      <c r="H94" s="224"/>
      <c r="I94" s="224"/>
      <c r="J94" s="224"/>
      <c r="K94" s="224"/>
      <c r="L94" s="223">
        <v>0</v>
      </c>
      <c r="M94" s="223">
        <v>0</v>
      </c>
      <c r="N94" s="221">
        <f t="shared" si="23"/>
        <v>0</v>
      </c>
      <c r="O94" s="221">
        <f t="shared" si="23"/>
        <v>0</v>
      </c>
      <c r="P94" s="238">
        <f t="shared" si="30"/>
        <v>0</v>
      </c>
    </row>
    <row r="95" spans="1:16" ht="11.25">
      <c r="A95" s="182">
        <v>163503</v>
      </c>
      <c r="B95" s="183" t="s">
        <v>3522</v>
      </c>
      <c r="C95" s="222">
        <v>6057</v>
      </c>
      <c r="D95" s="188">
        <v>0</v>
      </c>
      <c r="E95" s="188">
        <v>-56744525.69</v>
      </c>
      <c r="F95" s="224">
        <v>2058729</v>
      </c>
      <c r="G95" s="224">
        <v>446229</v>
      </c>
      <c r="H95" s="224">
        <v>3779291</v>
      </c>
      <c r="I95" s="224">
        <v>1776</v>
      </c>
      <c r="J95" s="224">
        <v>4478074</v>
      </c>
      <c r="K95" s="224">
        <v>180000</v>
      </c>
      <c r="L95" s="223">
        <f>10316-2</f>
        <v>10314</v>
      </c>
      <c r="M95" s="223">
        <v>628</v>
      </c>
      <c r="N95" s="221">
        <f t="shared" si="23"/>
        <v>10316094</v>
      </c>
      <c r="O95" s="221">
        <f t="shared" si="23"/>
        <v>628005</v>
      </c>
      <c r="P95" s="239">
        <f t="shared" si="30"/>
        <v>15743</v>
      </c>
    </row>
    <row r="96" spans="1:16" ht="11.25">
      <c r="A96" s="182">
        <v>163504</v>
      </c>
      <c r="B96" s="187" t="s">
        <v>3521</v>
      </c>
      <c r="C96" s="222">
        <v>1037862</v>
      </c>
      <c r="D96" s="188">
        <v>0</v>
      </c>
      <c r="E96" s="188">
        <v>-257935637.45</v>
      </c>
      <c r="F96" s="224">
        <v>104389095</v>
      </c>
      <c r="G96" s="224">
        <v>42467618</v>
      </c>
      <c r="H96" s="224">
        <v>36876587</v>
      </c>
      <c r="I96" s="224">
        <v>31687185</v>
      </c>
      <c r="J96" s="224">
        <v>1033259699.6</v>
      </c>
      <c r="K96" s="224">
        <v>988689823.6</v>
      </c>
      <c r="L96" s="223">
        <f>1174525+1</f>
        <v>1174526</v>
      </c>
      <c r="M96" s="223">
        <v>1062845</v>
      </c>
      <c r="N96" s="221">
        <f t="shared" si="23"/>
        <v>1174525381.6</v>
      </c>
      <c r="O96" s="221">
        <f t="shared" si="23"/>
        <v>1062844626.6</v>
      </c>
      <c r="P96" s="239">
        <f t="shared" si="30"/>
        <v>1149543</v>
      </c>
    </row>
    <row r="97" spans="1:16" ht="11.25">
      <c r="A97" s="182">
        <v>163505</v>
      </c>
      <c r="B97" s="187" t="s">
        <v>3526</v>
      </c>
      <c r="C97" s="222">
        <v>29120</v>
      </c>
      <c r="D97" s="188">
        <v>0</v>
      </c>
      <c r="E97" s="188">
        <v>29120</v>
      </c>
      <c r="F97" s="224"/>
      <c r="G97" s="224"/>
      <c r="H97" s="224"/>
      <c r="I97" s="224"/>
      <c r="J97" s="224">
        <v>0</v>
      </c>
      <c r="K97" s="224">
        <v>0</v>
      </c>
      <c r="L97" s="223">
        <v>0</v>
      </c>
      <c r="M97" s="223">
        <v>0</v>
      </c>
      <c r="N97" s="221">
        <f t="shared" si="23"/>
        <v>0</v>
      </c>
      <c r="O97" s="221">
        <f t="shared" si="23"/>
        <v>0</v>
      </c>
      <c r="P97" s="239">
        <f t="shared" si="30"/>
        <v>29120</v>
      </c>
    </row>
    <row r="98" spans="1:16" ht="11.25">
      <c r="A98" s="182">
        <v>163511</v>
      </c>
      <c r="B98" s="93" t="s">
        <v>3527</v>
      </c>
      <c r="C98" s="184">
        <v>1000</v>
      </c>
      <c r="D98" s="188">
        <v>0</v>
      </c>
      <c r="E98" s="188">
        <v>-66931</v>
      </c>
      <c r="F98" s="224"/>
      <c r="G98" s="224"/>
      <c r="H98" s="224"/>
      <c r="I98" s="224"/>
      <c r="J98" s="224">
        <v>0</v>
      </c>
      <c r="K98" s="224">
        <v>250000</v>
      </c>
      <c r="L98" s="223">
        <v>0</v>
      </c>
      <c r="M98" s="223">
        <v>250</v>
      </c>
      <c r="N98" s="221">
        <f t="shared" si="23"/>
        <v>0</v>
      </c>
      <c r="O98" s="221">
        <f t="shared" si="23"/>
        <v>250000</v>
      </c>
      <c r="P98" s="239">
        <f t="shared" si="30"/>
        <v>750</v>
      </c>
    </row>
    <row r="99" spans="1:16" ht="11.25">
      <c r="A99" s="182">
        <v>163599</v>
      </c>
      <c r="B99" s="93" t="s">
        <v>3528</v>
      </c>
      <c r="C99" s="184">
        <v>0</v>
      </c>
      <c r="D99" s="188">
        <v>0</v>
      </c>
      <c r="E99" s="188">
        <v>0</v>
      </c>
      <c r="F99" s="224"/>
      <c r="G99" s="224"/>
      <c r="H99" s="224"/>
      <c r="I99" s="224"/>
      <c r="J99" s="224"/>
      <c r="K99" s="224"/>
      <c r="L99" s="223">
        <v>0</v>
      </c>
      <c r="M99" s="223">
        <v>0</v>
      </c>
      <c r="N99" s="221">
        <f t="shared" si="23"/>
        <v>0</v>
      </c>
      <c r="O99" s="221">
        <f t="shared" si="23"/>
        <v>0</v>
      </c>
      <c r="P99" s="238">
        <f t="shared" si="30"/>
        <v>0</v>
      </c>
    </row>
    <row r="100" spans="1:16" ht="11.25">
      <c r="A100" s="178">
        <v>164000</v>
      </c>
      <c r="B100" s="90" t="s">
        <v>3529</v>
      </c>
      <c r="C100" s="220">
        <f aca="true" t="shared" si="31" ref="C100:M100">SUM(C101:C103)</f>
        <v>5752665</v>
      </c>
      <c r="D100" s="220">
        <f t="shared" si="31"/>
        <v>0</v>
      </c>
      <c r="E100" s="220">
        <f t="shared" si="31"/>
        <v>-869135335</v>
      </c>
      <c r="F100" s="220">
        <f t="shared" si="31"/>
        <v>0</v>
      </c>
      <c r="G100" s="220">
        <f t="shared" si="31"/>
        <v>0</v>
      </c>
      <c r="H100" s="220">
        <f t="shared" si="31"/>
        <v>0</v>
      </c>
      <c r="I100" s="220">
        <f t="shared" si="31"/>
        <v>0</v>
      </c>
      <c r="J100" s="220">
        <f t="shared" si="31"/>
        <v>0</v>
      </c>
      <c r="K100" s="220">
        <f t="shared" si="31"/>
        <v>682551400</v>
      </c>
      <c r="L100" s="220">
        <f t="shared" si="31"/>
        <v>0</v>
      </c>
      <c r="M100" s="220">
        <f t="shared" si="31"/>
        <v>682552</v>
      </c>
      <c r="N100" s="221">
        <f t="shared" si="23"/>
        <v>0</v>
      </c>
      <c r="O100" s="221">
        <f t="shared" si="23"/>
        <v>682551400</v>
      </c>
      <c r="P100" s="238">
        <f>SUM(P101:P103)</f>
        <v>5070113</v>
      </c>
    </row>
    <row r="101" spans="1:16" ht="11.25">
      <c r="A101" s="182">
        <v>164001</v>
      </c>
      <c r="B101" s="117" t="s">
        <v>3530</v>
      </c>
      <c r="C101" s="184">
        <v>5752665</v>
      </c>
      <c r="D101" s="188">
        <v>0</v>
      </c>
      <c r="E101" s="188">
        <v>-869135335</v>
      </c>
      <c r="F101" s="224"/>
      <c r="G101" s="224"/>
      <c r="H101" s="224"/>
      <c r="I101" s="224"/>
      <c r="J101" s="224">
        <v>0</v>
      </c>
      <c r="K101" s="224">
        <v>682551400</v>
      </c>
      <c r="L101" s="223">
        <v>0</v>
      </c>
      <c r="M101" s="223">
        <f>682551+1</f>
        <v>682552</v>
      </c>
      <c r="N101" s="221">
        <f t="shared" si="23"/>
        <v>0</v>
      </c>
      <c r="O101" s="221">
        <f t="shared" si="23"/>
        <v>682551400</v>
      </c>
      <c r="P101" s="239">
        <f>+C101+L101-M101</f>
        <v>5070113</v>
      </c>
    </row>
    <row r="102" spans="1:16" ht="11.25">
      <c r="A102" s="182">
        <v>164002</v>
      </c>
      <c r="B102" s="117" t="s">
        <v>3531</v>
      </c>
      <c r="C102" s="184">
        <v>0</v>
      </c>
      <c r="D102" s="188">
        <v>0</v>
      </c>
      <c r="E102" s="188">
        <v>0</v>
      </c>
      <c r="F102" s="224"/>
      <c r="G102" s="224"/>
      <c r="H102" s="224"/>
      <c r="I102" s="224"/>
      <c r="J102" s="224"/>
      <c r="K102" s="224"/>
      <c r="L102" s="223">
        <v>0</v>
      </c>
      <c r="M102" s="223">
        <v>0</v>
      </c>
      <c r="N102" s="221">
        <f t="shared" si="23"/>
        <v>0</v>
      </c>
      <c r="O102" s="221">
        <f t="shared" si="23"/>
        <v>0</v>
      </c>
      <c r="P102" s="238">
        <f>+C102+L102-M102</f>
        <v>0</v>
      </c>
    </row>
    <row r="103" spans="1:16" ht="11.25">
      <c r="A103" s="182">
        <v>164099</v>
      </c>
      <c r="B103" s="93" t="s">
        <v>3528</v>
      </c>
      <c r="C103" s="184">
        <v>0</v>
      </c>
      <c r="D103" s="188">
        <v>0</v>
      </c>
      <c r="E103" s="188">
        <v>0</v>
      </c>
      <c r="F103" s="224"/>
      <c r="G103" s="224"/>
      <c r="H103" s="224"/>
      <c r="I103" s="224"/>
      <c r="J103" s="224"/>
      <c r="K103" s="224"/>
      <c r="L103" s="223">
        <v>0</v>
      </c>
      <c r="M103" s="223">
        <v>0</v>
      </c>
      <c r="N103" s="221">
        <f t="shared" si="23"/>
        <v>0</v>
      </c>
      <c r="O103" s="221">
        <f t="shared" si="23"/>
        <v>0</v>
      </c>
      <c r="P103" s="238">
        <f>+C103+L103-M103</f>
        <v>0</v>
      </c>
    </row>
    <row r="104" spans="1:16" ht="11.25">
      <c r="A104" s="178">
        <v>165500</v>
      </c>
      <c r="B104" s="90" t="s">
        <v>3532</v>
      </c>
      <c r="C104" s="220">
        <f aca="true" t="shared" si="32" ref="C104:M104">SUM(C105:C113)</f>
        <v>16614</v>
      </c>
      <c r="D104" s="220">
        <f t="shared" si="32"/>
        <v>0</v>
      </c>
      <c r="E104" s="220">
        <f t="shared" si="32"/>
        <v>-819189301</v>
      </c>
      <c r="F104" s="220">
        <f t="shared" si="32"/>
        <v>0</v>
      </c>
      <c r="G104" s="220">
        <f t="shared" si="32"/>
        <v>0</v>
      </c>
      <c r="H104" s="220">
        <f t="shared" si="32"/>
        <v>0</v>
      </c>
      <c r="I104" s="220">
        <f t="shared" si="32"/>
        <v>0</v>
      </c>
      <c r="J104" s="220">
        <f t="shared" si="32"/>
        <v>0</v>
      </c>
      <c r="K104" s="220">
        <f t="shared" si="32"/>
        <v>0</v>
      </c>
      <c r="L104" s="220">
        <f t="shared" si="32"/>
        <v>0</v>
      </c>
      <c r="M104" s="220">
        <f t="shared" si="32"/>
        <v>0</v>
      </c>
      <c r="N104" s="221">
        <f t="shared" si="23"/>
        <v>0</v>
      </c>
      <c r="O104" s="221">
        <f t="shared" si="23"/>
        <v>0</v>
      </c>
      <c r="P104" s="238">
        <f>SUM(P105:P113)</f>
        <v>16614</v>
      </c>
    </row>
    <row r="105" spans="1:16" ht="11.25">
      <c r="A105" s="182">
        <v>165501</v>
      </c>
      <c r="B105" s="93" t="s">
        <v>3533</v>
      </c>
      <c r="C105" s="184">
        <v>1788</v>
      </c>
      <c r="D105" s="188">
        <v>0</v>
      </c>
      <c r="E105" s="188">
        <v>-845364</v>
      </c>
      <c r="F105" s="125"/>
      <c r="G105" s="125"/>
      <c r="H105" s="224"/>
      <c r="I105" s="224"/>
      <c r="J105" s="224">
        <v>0</v>
      </c>
      <c r="K105" s="224">
        <v>0</v>
      </c>
      <c r="L105" s="223">
        <v>0</v>
      </c>
      <c r="M105" s="223">
        <v>0</v>
      </c>
      <c r="N105" s="221">
        <f t="shared" si="23"/>
        <v>0</v>
      </c>
      <c r="O105" s="221">
        <f t="shared" si="23"/>
        <v>0</v>
      </c>
      <c r="P105" s="239">
        <f aca="true" t="shared" si="33" ref="P105:P113">+C105+L105-M105</f>
        <v>1788</v>
      </c>
    </row>
    <row r="106" spans="1:16" ht="11.25">
      <c r="A106" s="182">
        <v>165504</v>
      </c>
      <c r="B106" s="93" t="s">
        <v>3534</v>
      </c>
      <c r="C106" s="184">
        <v>0</v>
      </c>
      <c r="D106" s="188">
        <v>0</v>
      </c>
      <c r="E106" s="188">
        <v>0</v>
      </c>
      <c r="F106" s="224"/>
      <c r="G106" s="224"/>
      <c r="H106" s="224"/>
      <c r="I106" s="224"/>
      <c r="J106" s="224"/>
      <c r="K106" s="224"/>
      <c r="L106" s="223">
        <v>0</v>
      </c>
      <c r="M106" s="223">
        <v>0</v>
      </c>
      <c r="N106" s="221">
        <f t="shared" si="23"/>
        <v>0</v>
      </c>
      <c r="O106" s="221">
        <f t="shared" si="23"/>
        <v>0</v>
      </c>
      <c r="P106" s="239">
        <f t="shared" si="33"/>
        <v>0</v>
      </c>
    </row>
    <row r="107" spans="1:16" ht="11.25">
      <c r="A107" s="182">
        <v>165505</v>
      </c>
      <c r="B107" s="93" t="s">
        <v>3535</v>
      </c>
      <c r="C107" s="184">
        <v>5498</v>
      </c>
      <c r="D107" s="188">
        <v>0</v>
      </c>
      <c r="E107" s="188">
        <v>5498</v>
      </c>
      <c r="F107" s="224"/>
      <c r="G107" s="224"/>
      <c r="H107" s="224"/>
      <c r="I107" s="224"/>
      <c r="J107" s="224">
        <v>0</v>
      </c>
      <c r="K107" s="224">
        <v>0</v>
      </c>
      <c r="L107" s="223">
        <v>0</v>
      </c>
      <c r="M107" s="223">
        <v>0</v>
      </c>
      <c r="N107" s="221">
        <f t="shared" si="23"/>
        <v>0</v>
      </c>
      <c r="O107" s="221">
        <f t="shared" si="23"/>
        <v>0</v>
      </c>
      <c r="P107" s="239">
        <f t="shared" si="33"/>
        <v>5498</v>
      </c>
    </row>
    <row r="108" spans="1:16" ht="11.25">
      <c r="A108" s="182">
        <v>165506</v>
      </c>
      <c r="B108" s="117" t="s">
        <v>3536</v>
      </c>
      <c r="C108" s="184">
        <v>5516</v>
      </c>
      <c r="D108" s="188">
        <v>0</v>
      </c>
      <c r="E108" s="188">
        <v>-300538256</v>
      </c>
      <c r="F108" s="224"/>
      <c r="G108" s="224"/>
      <c r="H108" s="224"/>
      <c r="I108" s="224"/>
      <c r="J108" s="224">
        <v>0</v>
      </c>
      <c r="K108" s="224">
        <v>0</v>
      </c>
      <c r="L108" s="223">
        <v>0</v>
      </c>
      <c r="M108" s="223">
        <v>0</v>
      </c>
      <c r="N108" s="221">
        <f t="shared" si="23"/>
        <v>0</v>
      </c>
      <c r="O108" s="221">
        <f t="shared" si="23"/>
        <v>0</v>
      </c>
      <c r="P108" s="239">
        <f t="shared" si="33"/>
        <v>5516</v>
      </c>
    </row>
    <row r="109" spans="1:16" ht="11.25">
      <c r="A109" s="182">
        <v>165509</v>
      </c>
      <c r="B109" s="117" t="s">
        <v>3537</v>
      </c>
      <c r="C109" s="184">
        <v>0</v>
      </c>
      <c r="D109" s="188">
        <v>0</v>
      </c>
      <c r="E109" s="188">
        <v>-517814991</v>
      </c>
      <c r="F109" s="224"/>
      <c r="G109" s="224"/>
      <c r="H109" s="224"/>
      <c r="I109" s="224"/>
      <c r="J109" s="224"/>
      <c r="K109" s="224"/>
      <c r="L109" s="223">
        <v>0</v>
      </c>
      <c r="M109" s="223">
        <v>0</v>
      </c>
      <c r="N109" s="221">
        <f t="shared" si="23"/>
        <v>0</v>
      </c>
      <c r="O109" s="221">
        <f t="shared" si="23"/>
        <v>0</v>
      </c>
      <c r="P109" s="239">
        <f t="shared" si="33"/>
        <v>0</v>
      </c>
    </row>
    <row r="110" spans="1:16" ht="11.25">
      <c r="A110" s="182">
        <v>165510</v>
      </c>
      <c r="B110" s="93" t="s">
        <v>3538</v>
      </c>
      <c r="C110" s="184">
        <v>3812</v>
      </c>
      <c r="D110" s="188">
        <v>0</v>
      </c>
      <c r="E110" s="188">
        <v>3812</v>
      </c>
      <c r="F110" s="224"/>
      <c r="G110" s="224"/>
      <c r="H110" s="224"/>
      <c r="I110" s="224"/>
      <c r="J110" s="224">
        <v>0</v>
      </c>
      <c r="K110" s="224">
        <v>0</v>
      </c>
      <c r="L110" s="223">
        <v>0</v>
      </c>
      <c r="M110" s="223">
        <v>0</v>
      </c>
      <c r="N110" s="221">
        <f t="shared" si="23"/>
        <v>0</v>
      </c>
      <c r="O110" s="221">
        <f t="shared" si="23"/>
        <v>0</v>
      </c>
      <c r="P110" s="239">
        <f t="shared" si="33"/>
        <v>3812</v>
      </c>
    </row>
    <row r="111" spans="1:16" ht="11.25">
      <c r="A111" s="182">
        <v>165511</v>
      </c>
      <c r="B111" s="93" t="s">
        <v>3539</v>
      </c>
      <c r="C111" s="184">
        <v>0</v>
      </c>
      <c r="D111" s="188">
        <v>0</v>
      </c>
      <c r="E111" s="188">
        <v>0</v>
      </c>
      <c r="F111" s="224"/>
      <c r="G111" s="224"/>
      <c r="H111" s="224"/>
      <c r="I111" s="224"/>
      <c r="J111" s="224"/>
      <c r="K111" s="224"/>
      <c r="L111" s="223">
        <v>0</v>
      </c>
      <c r="M111" s="223">
        <v>0</v>
      </c>
      <c r="N111" s="221">
        <f t="shared" si="23"/>
        <v>0</v>
      </c>
      <c r="O111" s="221">
        <f t="shared" si="23"/>
        <v>0</v>
      </c>
      <c r="P111" s="239">
        <f t="shared" si="33"/>
        <v>0</v>
      </c>
    </row>
    <row r="112" spans="1:16" ht="11.25">
      <c r="A112" s="182">
        <v>165590</v>
      </c>
      <c r="B112" s="93" t="s">
        <v>3540</v>
      </c>
      <c r="C112" s="184">
        <v>0</v>
      </c>
      <c r="D112" s="188">
        <v>0</v>
      </c>
      <c r="E112" s="188">
        <v>0</v>
      </c>
      <c r="F112" s="224"/>
      <c r="G112" s="224"/>
      <c r="H112" s="224"/>
      <c r="I112" s="224"/>
      <c r="J112" s="224"/>
      <c r="K112" s="224"/>
      <c r="L112" s="223">
        <v>0</v>
      </c>
      <c r="M112" s="223">
        <v>0</v>
      </c>
      <c r="N112" s="221">
        <f t="shared" si="23"/>
        <v>0</v>
      </c>
      <c r="O112" s="221">
        <f t="shared" si="23"/>
        <v>0</v>
      </c>
      <c r="P112" s="239">
        <f t="shared" si="33"/>
        <v>0</v>
      </c>
    </row>
    <row r="113" spans="1:16" ht="11.25">
      <c r="A113" s="182">
        <v>165599</v>
      </c>
      <c r="B113" s="93" t="s">
        <v>3528</v>
      </c>
      <c r="C113" s="184">
        <v>0</v>
      </c>
      <c r="D113" s="188">
        <v>0</v>
      </c>
      <c r="E113" s="188">
        <v>0</v>
      </c>
      <c r="F113" s="224"/>
      <c r="G113" s="224"/>
      <c r="H113" s="224"/>
      <c r="I113" s="224"/>
      <c r="J113" s="224"/>
      <c r="K113" s="224"/>
      <c r="L113" s="223">
        <v>0</v>
      </c>
      <c r="M113" s="223">
        <v>0</v>
      </c>
      <c r="N113" s="221">
        <f t="shared" si="23"/>
        <v>0</v>
      </c>
      <c r="O113" s="221">
        <f t="shared" si="23"/>
        <v>0</v>
      </c>
      <c r="P113" s="238">
        <f t="shared" si="33"/>
        <v>0</v>
      </c>
    </row>
    <row r="114" spans="1:16" ht="11.25">
      <c r="A114" s="178">
        <v>166000</v>
      </c>
      <c r="B114" s="90" t="s">
        <v>3541</v>
      </c>
      <c r="C114" s="220">
        <f aca="true" t="shared" si="34" ref="C114:M114">SUM(C115:C118)</f>
        <v>0</v>
      </c>
      <c r="D114" s="220">
        <f t="shared" si="34"/>
        <v>0</v>
      </c>
      <c r="E114" s="220">
        <f t="shared" si="34"/>
        <v>-420833230</v>
      </c>
      <c r="F114" s="220">
        <f t="shared" si="34"/>
        <v>0</v>
      </c>
      <c r="G114" s="220">
        <f t="shared" si="34"/>
        <v>0</v>
      </c>
      <c r="H114" s="220">
        <f t="shared" si="34"/>
        <v>0</v>
      </c>
      <c r="I114" s="220">
        <f t="shared" si="34"/>
        <v>0</v>
      </c>
      <c r="J114" s="220">
        <f t="shared" si="34"/>
        <v>0</v>
      </c>
      <c r="K114" s="220">
        <f t="shared" si="34"/>
        <v>0</v>
      </c>
      <c r="L114" s="220">
        <f t="shared" si="34"/>
        <v>0</v>
      </c>
      <c r="M114" s="220">
        <f t="shared" si="34"/>
        <v>0</v>
      </c>
      <c r="N114" s="221">
        <f t="shared" si="23"/>
        <v>0</v>
      </c>
      <c r="O114" s="221">
        <f t="shared" si="23"/>
        <v>0</v>
      </c>
      <c r="P114" s="238">
        <f>SUM(P115:P118)</f>
        <v>0</v>
      </c>
    </row>
    <row r="115" spans="1:16" ht="11.25">
      <c r="A115" s="182">
        <v>166001</v>
      </c>
      <c r="B115" s="93" t="s">
        <v>3542</v>
      </c>
      <c r="C115" s="184">
        <v>0</v>
      </c>
      <c r="D115" s="188">
        <v>0</v>
      </c>
      <c r="E115" s="188">
        <v>0</v>
      </c>
      <c r="F115" s="224"/>
      <c r="G115" s="224"/>
      <c r="H115" s="224"/>
      <c r="I115" s="224"/>
      <c r="J115" s="224"/>
      <c r="K115" s="224"/>
      <c r="L115" s="223">
        <v>0</v>
      </c>
      <c r="M115" s="223">
        <v>0</v>
      </c>
      <c r="N115" s="221">
        <f t="shared" si="23"/>
        <v>0</v>
      </c>
      <c r="O115" s="221">
        <f t="shared" si="23"/>
        <v>0</v>
      </c>
      <c r="P115" s="238">
        <f>+C115+L115-M115</f>
        <v>0</v>
      </c>
    </row>
    <row r="116" spans="1:16" ht="11.25">
      <c r="A116" s="182">
        <v>166002</v>
      </c>
      <c r="B116" s="93" t="s">
        <v>3543</v>
      </c>
      <c r="C116" s="184">
        <v>0</v>
      </c>
      <c r="D116" s="188">
        <v>0</v>
      </c>
      <c r="E116" s="188">
        <v>-420833230</v>
      </c>
      <c r="F116" s="224"/>
      <c r="G116" s="224"/>
      <c r="H116" s="224"/>
      <c r="I116" s="224"/>
      <c r="J116" s="224"/>
      <c r="K116" s="224"/>
      <c r="L116" s="223">
        <v>0</v>
      </c>
      <c r="M116" s="223">
        <v>0</v>
      </c>
      <c r="N116" s="221">
        <f t="shared" si="23"/>
        <v>0</v>
      </c>
      <c r="O116" s="221">
        <f t="shared" si="23"/>
        <v>0</v>
      </c>
      <c r="P116" s="238">
        <f>+C116+L116-M116</f>
        <v>0</v>
      </c>
    </row>
    <row r="117" spans="1:16" ht="11.25">
      <c r="A117" s="182">
        <v>166003</v>
      </c>
      <c r="B117" s="93" t="s">
        <v>3544</v>
      </c>
      <c r="C117" s="184">
        <v>0</v>
      </c>
      <c r="D117" s="188">
        <v>0</v>
      </c>
      <c r="E117" s="188">
        <v>0</v>
      </c>
      <c r="F117" s="224"/>
      <c r="G117" s="224"/>
      <c r="H117" s="224"/>
      <c r="I117" s="224"/>
      <c r="J117" s="224"/>
      <c r="K117" s="224"/>
      <c r="L117" s="223">
        <v>0</v>
      </c>
      <c r="M117" s="223">
        <v>0</v>
      </c>
      <c r="N117" s="221">
        <f t="shared" si="23"/>
        <v>0</v>
      </c>
      <c r="O117" s="221">
        <f t="shared" si="23"/>
        <v>0</v>
      </c>
      <c r="P117" s="238">
        <f>+C117+L117-M117</f>
        <v>0</v>
      </c>
    </row>
    <row r="118" spans="1:16" ht="11.25">
      <c r="A118" s="182">
        <v>166099</v>
      </c>
      <c r="B118" s="93" t="s">
        <v>3528</v>
      </c>
      <c r="C118" s="184">
        <v>0</v>
      </c>
      <c r="D118" s="188">
        <v>0</v>
      </c>
      <c r="E118" s="188">
        <v>0</v>
      </c>
      <c r="F118" s="224"/>
      <c r="G118" s="224"/>
      <c r="H118" s="224"/>
      <c r="I118" s="224"/>
      <c r="J118" s="224"/>
      <c r="K118" s="224"/>
      <c r="L118" s="223">
        <v>0</v>
      </c>
      <c r="M118" s="223">
        <v>0</v>
      </c>
      <c r="N118" s="221">
        <f t="shared" si="23"/>
        <v>0</v>
      </c>
      <c r="O118" s="221">
        <f t="shared" si="23"/>
        <v>0</v>
      </c>
      <c r="P118" s="238">
        <f>+C118+L118-M118</f>
        <v>0</v>
      </c>
    </row>
    <row r="119" spans="1:16" ht="11.25">
      <c r="A119" s="178">
        <v>166500</v>
      </c>
      <c r="B119" s="90" t="s">
        <v>3545</v>
      </c>
      <c r="C119" s="220">
        <f aca="true" t="shared" si="35" ref="C119:M119">SUM(C120:C123)</f>
        <v>808248</v>
      </c>
      <c r="D119" s="220">
        <f t="shared" si="35"/>
        <v>0</v>
      </c>
      <c r="E119" s="220">
        <f t="shared" si="35"/>
        <v>-973514613.73</v>
      </c>
      <c r="F119" s="220">
        <f t="shared" si="35"/>
        <v>0</v>
      </c>
      <c r="G119" s="220">
        <f t="shared" si="35"/>
        <v>2058729</v>
      </c>
      <c r="H119" s="220">
        <f t="shared" si="35"/>
        <v>1583310078</v>
      </c>
      <c r="I119" s="220">
        <f t="shared" si="35"/>
        <v>1587087593</v>
      </c>
      <c r="J119" s="220">
        <f t="shared" si="35"/>
        <v>1592210720.09</v>
      </c>
      <c r="K119" s="220">
        <f t="shared" si="35"/>
        <v>1595897794.09</v>
      </c>
      <c r="L119" s="220">
        <f t="shared" si="35"/>
        <v>3175524</v>
      </c>
      <c r="M119" s="220">
        <f t="shared" si="35"/>
        <v>3185045</v>
      </c>
      <c r="N119" s="221">
        <f t="shared" si="23"/>
        <v>3175520798.09</v>
      </c>
      <c r="O119" s="221">
        <f t="shared" si="23"/>
        <v>3185044116.09</v>
      </c>
      <c r="P119" s="238">
        <f>SUM(P120:P123)</f>
        <v>798727</v>
      </c>
    </row>
    <row r="120" spans="1:16" ht="11.25">
      <c r="A120" s="182">
        <v>166501</v>
      </c>
      <c r="B120" s="183" t="s">
        <v>3546</v>
      </c>
      <c r="C120" s="222">
        <v>779175</v>
      </c>
      <c r="D120" s="188">
        <v>0</v>
      </c>
      <c r="E120" s="188">
        <v>-874081651.65</v>
      </c>
      <c r="F120" s="224">
        <v>0</v>
      </c>
      <c r="G120" s="224">
        <v>2058729</v>
      </c>
      <c r="H120" s="224">
        <v>1554234932</v>
      </c>
      <c r="I120" s="224">
        <v>1558012447</v>
      </c>
      <c r="J120" s="224">
        <v>1563075574.09</v>
      </c>
      <c r="K120" s="224">
        <v>1566401008.09</v>
      </c>
      <c r="L120" s="223">
        <v>3117311</v>
      </c>
      <c r="M120" s="223">
        <f>3126472+1</f>
        <v>3126473</v>
      </c>
      <c r="N120" s="221">
        <f t="shared" si="23"/>
        <v>3117310506.09</v>
      </c>
      <c r="O120" s="221">
        <f t="shared" si="23"/>
        <v>3126472184.09</v>
      </c>
      <c r="P120" s="239">
        <f>+C120+L120-M120</f>
        <v>770013</v>
      </c>
    </row>
    <row r="121" spans="1:16" ht="11.25">
      <c r="A121" s="182">
        <v>166502</v>
      </c>
      <c r="B121" s="183" t="s">
        <v>3547</v>
      </c>
      <c r="C121" s="222">
        <v>29073</v>
      </c>
      <c r="D121" s="188">
        <v>0</v>
      </c>
      <c r="E121" s="188">
        <v>-99432962.08</v>
      </c>
      <c r="F121" s="224"/>
      <c r="G121" s="224"/>
      <c r="H121" s="224">
        <v>29075146</v>
      </c>
      <c r="I121" s="224">
        <v>29075146</v>
      </c>
      <c r="J121" s="224">
        <v>29135146</v>
      </c>
      <c r="K121" s="224">
        <v>29496786</v>
      </c>
      <c r="L121" s="223">
        <f>58210+3</f>
        <v>58213</v>
      </c>
      <c r="M121" s="223">
        <v>58572</v>
      </c>
      <c r="N121" s="221">
        <f t="shared" si="23"/>
        <v>58210292</v>
      </c>
      <c r="O121" s="221">
        <f t="shared" si="23"/>
        <v>58571932</v>
      </c>
      <c r="P121" s="239">
        <f>+C121+L121-M121</f>
        <v>28714</v>
      </c>
    </row>
    <row r="122" spans="1:16" ht="11.25">
      <c r="A122" s="182">
        <v>166590</v>
      </c>
      <c r="B122" s="183" t="s">
        <v>3548</v>
      </c>
      <c r="C122" s="222">
        <v>0</v>
      </c>
      <c r="D122" s="188">
        <v>0</v>
      </c>
      <c r="E122" s="188">
        <v>0</v>
      </c>
      <c r="F122" s="224"/>
      <c r="G122" s="224"/>
      <c r="H122" s="224"/>
      <c r="I122" s="224"/>
      <c r="J122" s="224"/>
      <c r="K122" s="224"/>
      <c r="L122" s="223">
        <v>0</v>
      </c>
      <c r="M122" s="223">
        <v>0</v>
      </c>
      <c r="N122" s="221">
        <f t="shared" si="23"/>
        <v>0</v>
      </c>
      <c r="O122" s="221">
        <f t="shared" si="23"/>
        <v>0</v>
      </c>
      <c r="P122" s="239">
        <f>+C122+L122-M122</f>
        <v>0</v>
      </c>
    </row>
    <row r="123" spans="1:16" ht="11.25">
      <c r="A123" s="182">
        <v>166599</v>
      </c>
      <c r="B123" s="93" t="s">
        <v>3549</v>
      </c>
      <c r="C123" s="184">
        <v>0</v>
      </c>
      <c r="D123" s="188">
        <v>0</v>
      </c>
      <c r="E123" s="188">
        <v>0</v>
      </c>
      <c r="F123" s="224"/>
      <c r="G123" s="224"/>
      <c r="H123" s="224"/>
      <c r="I123" s="224"/>
      <c r="J123" s="224"/>
      <c r="K123" s="224"/>
      <c r="L123" s="223">
        <v>0</v>
      </c>
      <c r="M123" s="223">
        <v>0</v>
      </c>
      <c r="N123" s="221">
        <f t="shared" si="23"/>
        <v>0</v>
      </c>
      <c r="O123" s="221">
        <f t="shared" si="23"/>
        <v>0</v>
      </c>
      <c r="P123" s="239">
        <f>+C123+L123-M123</f>
        <v>0</v>
      </c>
    </row>
    <row r="124" spans="1:16" ht="11.25">
      <c r="A124" s="178">
        <v>167000</v>
      </c>
      <c r="B124" s="116" t="s">
        <v>829</v>
      </c>
      <c r="C124" s="220">
        <f aca="true" t="shared" si="36" ref="C124:M124">SUM(C125:C129)</f>
        <v>2100360</v>
      </c>
      <c r="D124" s="220">
        <f t="shared" si="36"/>
        <v>0</v>
      </c>
      <c r="E124" s="220">
        <f t="shared" si="36"/>
        <v>-420783713.66999996</v>
      </c>
      <c r="F124" s="220">
        <f t="shared" si="36"/>
        <v>37609521</v>
      </c>
      <c r="G124" s="220">
        <f t="shared" si="36"/>
        <v>66824274</v>
      </c>
      <c r="H124" s="220">
        <f t="shared" si="36"/>
        <v>4173979737</v>
      </c>
      <c r="I124" s="220">
        <f t="shared" si="36"/>
        <v>4150429962</v>
      </c>
      <c r="J124" s="220">
        <f t="shared" si="36"/>
        <v>4257893832.6</v>
      </c>
      <c r="K124" s="220">
        <f t="shared" si="36"/>
        <v>4163949661.6</v>
      </c>
      <c r="L124" s="220">
        <f t="shared" si="36"/>
        <v>8469483</v>
      </c>
      <c r="M124" s="220">
        <f t="shared" si="36"/>
        <v>8381203</v>
      </c>
      <c r="N124" s="221">
        <f t="shared" si="23"/>
        <v>8469483090.6</v>
      </c>
      <c r="O124" s="221">
        <f t="shared" si="23"/>
        <v>8381203897.6</v>
      </c>
      <c r="P124" s="238">
        <f>SUM(P125:P129)</f>
        <v>2188640</v>
      </c>
    </row>
    <row r="125" spans="1:16" ht="11.25">
      <c r="A125" s="182">
        <v>167001</v>
      </c>
      <c r="B125" s="93" t="s">
        <v>830</v>
      </c>
      <c r="C125" s="184">
        <v>109024</v>
      </c>
      <c r="D125" s="184">
        <v>0</v>
      </c>
      <c r="E125" s="188">
        <v>-56145537.94</v>
      </c>
      <c r="F125" s="224">
        <v>14854821</v>
      </c>
      <c r="G125" s="224">
        <v>146000</v>
      </c>
      <c r="H125" s="224">
        <v>253890526</v>
      </c>
      <c r="I125" s="224">
        <v>247611704</v>
      </c>
      <c r="J125" s="224">
        <v>251672749.6</v>
      </c>
      <c r="K125" s="224">
        <v>247538704.6</v>
      </c>
      <c r="L125" s="223">
        <v>520418</v>
      </c>
      <c r="M125" s="223">
        <v>495296</v>
      </c>
      <c r="N125" s="221">
        <f t="shared" si="23"/>
        <v>520418096.6</v>
      </c>
      <c r="O125" s="221">
        <f t="shared" si="23"/>
        <v>495296408.6</v>
      </c>
      <c r="P125" s="239">
        <f>+C125+L125-M125</f>
        <v>134146</v>
      </c>
    </row>
    <row r="126" spans="1:16" ht="11.25">
      <c r="A126" s="182">
        <v>167002</v>
      </c>
      <c r="B126" s="93" t="s">
        <v>831</v>
      </c>
      <c r="C126" s="184">
        <v>1991336</v>
      </c>
      <c r="D126" s="184">
        <v>0</v>
      </c>
      <c r="E126" s="188">
        <v>-364638175.72999996</v>
      </c>
      <c r="F126" s="224">
        <v>22754700</v>
      </c>
      <c r="G126" s="224">
        <v>66678274</v>
      </c>
      <c r="H126" s="224">
        <v>3920089211</v>
      </c>
      <c r="I126" s="224">
        <v>3902818258</v>
      </c>
      <c r="J126" s="224">
        <v>4006221083</v>
      </c>
      <c r="K126" s="224">
        <v>3916410957</v>
      </c>
      <c r="L126" s="223">
        <v>7949065</v>
      </c>
      <c r="M126" s="223">
        <v>7885907</v>
      </c>
      <c r="N126" s="221">
        <f t="shared" si="23"/>
        <v>7949064994</v>
      </c>
      <c r="O126" s="221">
        <f t="shared" si="23"/>
        <v>7885907489</v>
      </c>
      <c r="P126" s="239">
        <f>+C126+L126-M126</f>
        <v>2054494</v>
      </c>
    </row>
    <row r="127" spans="1:16" ht="11.25">
      <c r="A127" s="182">
        <v>167003</v>
      </c>
      <c r="B127" s="93" t="s">
        <v>832</v>
      </c>
      <c r="C127" s="184">
        <v>0</v>
      </c>
      <c r="D127" s="184">
        <v>0</v>
      </c>
      <c r="E127" s="188">
        <v>0</v>
      </c>
      <c r="F127" s="224"/>
      <c r="G127" s="224"/>
      <c r="H127" s="224"/>
      <c r="I127" s="224"/>
      <c r="J127" s="224"/>
      <c r="K127" s="224"/>
      <c r="L127" s="223">
        <v>0</v>
      </c>
      <c r="M127" s="223">
        <v>0</v>
      </c>
      <c r="N127" s="221">
        <f t="shared" si="23"/>
        <v>0</v>
      </c>
      <c r="O127" s="221">
        <f t="shared" si="23"/>
        <v>0</v>
      </c>
      <c r="P127" s="239">
        <f>+C127+L127-M127</f>
        <v>0</v>
      </c>
    </row>
    <row r="128" spans="1:16" ht="11.25">
      <c r="A128" s="182">
        <v>167090</v>
      </c>
      <c r="B128" s="93" t="s">
        <v>833</v>
      </c>
      <c r="C128" s="184">
        <v>0</v>
      </c>
      <c r="D128" s="184">
        <v>0</v>
      </c>
      <c r="E128" s="188">
        <v>0</v>
      </c>
      <c r="F128" s="224"/>
      <c r="G128" s="224"/>
      <c r="H128" s="224"/>
      <c r="I128" s="224"/>
      <c r="J128" s="224"/>
      <c r="K128" s="224"/>
      <c r="L128" s="223">
        <v>0</v>
      </c>
      <c r="M128" s="223">
        <v>0</v>
      </c>
      <c r="N128" s="221">
        <f t="shared" si="23"/>
        <v>0</v>
      </c>
      <c r="O128" s="221">
        <f t="shared" si="23"/>
        <v>0</v>
      </c>
      <c r="P128" s="239">
        <f>+C128+L128-M128</f>
        <v>0</v>
      </c>
    </row>
    <row r="129" spans="1:16" ht="11.25">
      <c r="A129" s="182">
        <v>167099</v>
      </c>
      <c r="B129" s="93" t="s">
        <v>834</v>
      </c>
      <c r="C129" s="184">
        <v>0</v>
      </c>
      <c r="D129" s="184">
        <v>0</v>
      </c>
      <c r="E129" s="188">
        <v>0</v>
      </c>
      <c r="F129" s="224"/>
      <c r="G129" s="224"/>
      <c r="H129" s="224"/>
      <c r="I129" s="224"/>
      <c r="J129" s="224"/>
      <c r="K129" s="224"/>
      <c r="L129" s="223">
        <v>0</v>
      </c>
      <c r="M129" s="223">
        <v>0</v>
      </c>
      <c r="N129" s="221">
        <f t="shared" si="23"/>
        <v>0</v>
      </c>
      <c r="O129" s="221">
        <f t="shared" si="23"/>
        <v>0</v>
      </c>
      <c r="P129" s="239">
        <f>+C129+L129-M129</f>
        <v>0</v>
      </c>
    </row>
    <row r="130" spans="1:16" ht="11.25">
      <c r="A130" s="178">
        <v>167500</v>
      </c>
      <c r="B130" s="90" t="s">
        <v>835</v>
      </c>
      <c r="C130" s="220">
        <f aca="true" t="shared" si="37" ref="C130:M130">SUM(C131:C132)</f>
        <v>410698</v>
      </c>
      <c r="D130" s="220">
        <f t="shared" si="37"/>
        <v>0</v>
      </c>
      <c r="E130" s="220">
        <f t="shared" si="37"/>
        <v>-55251802.24</v>
      </c>
      <c r="F130" s="220">
        <f t="shared" si="37"/>
        <v>0</v>
      </c>
      <c r="G130" s="220">
        <f t="shared" si="37"/>
        <v>0</v>
      </c>
      <c r="H130" s="220">
        <f t="shared" si="37"/>
        <v>0</v>
      </c>
      <c r="I130" s="220">
        <f t="shared" si="37"/>
        <v>0</v>
      </c>
      <c r="J130" s="220">
        <f t="shared" si="37"/>
        <v>0</v>
      </c>
      <c r="K130" s="220">
        <f t="shared" si="37"/>
        <v>0</v>
      </c>
      <c r="L130" s="220">
        <f t="shared" si="37"/>
        <v>0</v>
      </c>
      <c r="M130" s="220">
        <f t="shared" si="37"/>
        <v>0</v>
      </c>
      <c r="N130" s="221">
        <f t="shared" si="23"/>
        <v>0</v>
      </c>
      <c r="O130" s="221">
        <f t="shared" si="23"/>
        <v>0</v>
      </c>
      <c r="P130" s="238">
        <f>SUM(P131:P132)</f>
        <v>410698</v>
      </c>
    </row>
    <row r="131" spans="1:16" ht="11.25">
      <c r="A131" s="182">
        <v>167502</v>
      </c>
      <c r="B131" s="93" t="s">
        <v>836</v>
      </c>
      <c r="C131" s="184">
        <v>410698</v>
      </c>
      <c r="D131" s="184">
        <v>0</v>
      </c>
      <c r="E131" s="188">
        <v>410697.76</v>
      </c>
      <c r="F131" s="224"/>
      <c r="G131" s="224"/>
      <c r="H131" s="224"/>
      <c r="I131" s="224"/>
      <c r="J131" s="224">
        <v>0</v>
      </c>
      <c r="K131" s="224">
        <v>0</v>
      </c>
      <c r="L131" s="223">
        <v>0</v>
      </c>
      <c r="M131" s="223">
        <v>0</v>
      </c>
      <c r="N131" s="221">
        <f t="shared" si="23"/>
        <v>0</v>
      </c>
      <c r="O131" s="221">
        <f t="shared" si="23"/>
        <v>0</v>
      </c>
      <c r="P131" s="239">
        <f>+C131+L131-M131</f>
        <v>410698</v>
      </c>
    </row>
    <row r="132" spans="1:16" ht="11.25">
      <c r="A132" s="182">
        <v>167599</v>
      </c>
      <c r="B132" s="117" t="s">
        <v>3528</v>
      </c>
      <c r="C132" s="184">
        <v>0</v>
      </c>
      <c r="D132" s="184">
        <v>0</v>
      </c>
      <c r="E132" s="188">
        <v>-55662500</v>
      </c>
      <c r="F132" s="224"/>
      <c r="G132" s="224"/>
      <c r="H132" s="224"/>
      <c r="I132" s="224"/>
      <c r="J132" s="224"/>
      <c r="K132" s="224"/>
      <c r="L132" s="223">
        <v>0</v>
      </c>
      <c r="M132" s="223">
        <v>0</v>
      </c>
      <c r="N132" s="221">
        <f t="shared" si="23"/>
        <v>0</v>
      </c>
      <c r="O132" s="221">
        <f t="shared" si="23"/>
        <v>0</v>
      </c>
      <c r="P132" s="238">
        <f>+C132+L132-M132</f>
        <v>0</v>
      </c>
    </row>
    <row r="133" spans="1:16" ht="11.25">
      <c r="A133" s="178">
        <v>168000</v>
      </c>
      <c r="B133" s="189" t="s">
        <v>837</v>
      </c>
      <c r="C133" s="220">
        <f aca="true" t="shared" si="38" ref="C133:M133">SUM(C134:C135)</f>
        <v>3477</v>
      </c>
      <c r="D133" s="220">
        <f t="shared" si="38"/>
        <v>0</v>
      </c>
      <c r="E133" s="220">
        <f t="shared" si="38"/>
        <v>-61036521</v>
      </c>
      <c r="F133" s="220">
        <f t="shared" si="38"/>
        <v>0</v>
      </c>
      <c r="G133" s="220">
        <f t="shared" si="38"/>
        <v>0</v>
      </c>
      <c r="H133" s="220">
        <f t="shared" si="38"/>
        <v>0</v>
      </c>
      <c r="I133" s="220">
        <f t="shared" si="38"/>
        <v>0</v>
      </c>
      <c r="J133" s="220">
        <f t="shared" si="38"/>
        <v>250000</v>
      </c>
      <c r="K133" s="220">
        <f t="shared" si="38"/>
        <v>0</v>
      </c>
      <c r="L133" s="220">
        <f t="shared" si="38"/>
        <v>250</v>
      </c>
      <c r="M133" s="220">
        <f t="shared" si="38"/>
        <v>0</v>
      </c>
      <c r="N133" s="221">
        <f t="shared" si="23"/>
        <v>250000</v>
      </c>
      <c r="O133" s="221">
        <f t="shared" si="23"/>
        <v>0</v>
      </c>
      <c r="P133" s="238">
        <f>SUM(P134:P135)</f>
        <v>3727</v>
      </c>
    </row>
    <row r="134" spans="1:16" ht="11.25">
      <c r="A134" s="182">
        <v>168002</v>
      </c>
      <c r="B134" s="117" t="s">
        <v>838</v>
      </c>
      <c r="C134" s="184">
        <v>3477</v>
      </c>
      <c r="D134" s="184">
        <v>0</v>
      </c>
      <c r="E134" s="188">
        <v>-61036521</v>
      </c>
      <c r="F134" s="224"/>
      <c r="G134" s="224"/>
      <c r="H134" s="224"/>
      <c r="I134" s="224"/>
      <c r="J134" s="224">
        <v>250000</v>
      </c>
      <c r="K134" s="224">
        <v>0</v>
      </c>
      <c r="L134" s="223">
        <v>250</v>
      </c>
      <c r="M134" s="223">
        <v>0</v>
      </c>
      <c r="N134" s="221">
        <f t="shared" si="23"/>
        <v>250000</v>
      </c>
      <c r="O134" s="221">
        <f t="shared" si="23"/>
        <v>0</v>
      </c>
      <c r="P134" s="239">
        <f>+C134+L134-M134</f>
        <v>3727</v>
      </c>
    </row>
    <row r="135" spans="1:16" ht="11.25">
      <c r="A135" s="182">
        <v>168099</v>
      </c>
      <c r="B135" s="117" t="s">
        <v>3528</v>
      </c>
      <c r="C135" s="184">
        <v>0</v>
      </c>
      <c r="D135" s="184">
        <v>0</v>
      </c>
      <c r="E135" s="188">
        <v>0</v>
      </c>
      <c r="F135" s="224"/>
      <c r="G135" s="224"/>
      <c r="H135" s="224"/>
      <c r="I135" s="224"/>
      <c r="J135" s="224"/>
      <c r="K135" s="224"/>
      <c r="L135" s="223">
        <v>0</v>
      </c>
      <c r="M135" s="223">
        <v>0</v>
      </c>
      <c r="N135" s="221">
        <f t="shared" si="23"/>
        <v>0</v>
      </c>
      <c r="O135" s="221">
        <f t="shared" si="23"/>
        <v>0</v>
      </c>
      <c r="P135" s="238">
        <f>+C135+L135-M135</f>
        <v>0</v>
      </c>
    </row>
    <row r="136" spans="1:16" ht="11.25">
      <c r="A136" s="178">
        <v>168500</v>
      </c>
      <c r="B136" s="116" t="s">
        <v>839</v>
      </c>
      <c r="C136" s="220">
        <f aca="true" t="shared" si="39" ref="C136:M136">SUM(C137:C144)</f>
        <v>-4638009</v>
      </c>
      <c r="D136" s="220">
        <f t="shared" si="39"/>
        <v>0</v>
      </c>
      <c r="E136" s="220">
        <f t="shared" si="39"/>
        <v>901280130.51</v>
      </c>
      <c r="F136" s="220">
        <f t="shared" si="39"/>
        <v>784729</v>
      </c>
      <c r="G136" s="220">
        <f t="shared" si="39"/>
        <v>151328735</v>
      </c>
      <c r="H136" s="220">
        <f t="shared" si="39"/>
        <v>0</v>
      </c>
      <c r="I136" s="220">
        <f t="shared" si="39"/>
        <v>153743728</v>
      </c>
      <c r="J136" s="220">
        <f t="shared" si="39"/>
        <v>396997537</v>
      </c>
      <c r="K136" s="220">
        <f t="shared" si="39"/>
        <v>157069855.51</v>
      </c>
      <c r="L136" s="220">
        <f t="shared" si="39"/>
        <v>397783</v>
      </c>
      <c r="M136" s="220">
        <f t="shared" si="39"/>
        <v>462143</v>
      </c>
      <c r="N136" s="221">
        <f t="shared" si="23"/>
        <v>397782266</v>
      </c>
      <c r="O136" s="221">
        <f t="shared" si="23"/>
        <v>462142318.51</v>
      </c>
      <c r="P136" s="238">
        <f>SUM(P137:P144)</f>
        <v>-4702369</v>
      </c>
    </row>
    <row r="137" spans="1:16" ht="11.25">
      <c r="A137" s="182">
        <v>168501</v>
      </c>
      <c r="B137" s="117" t="s">
        <v>840</v>
      </c>
      <c r="C137" s="184">
        <v>-2044716</v>
      </c>
      <c r="D137" s="188">
        <v>0</v>
      </c>
      <c r="E137" s="188">
        <v>-325940385</v>
      </c>
      <c r="F137" s="224">
        <v>0</v>
      </c>
      <c r="G137" s="224">
        <v>108073296</v>
      </c>
      <c r="H137" s="224">
        <v>0</v>
      </c>
      <c r="I137" s="224">
        <v>108073296</v>
      </c>
      <c r="J137" s="224">
        <v>200292358</v>
      </c>
      <c r="K137" s="224">
        <v>0</v>
      </c>
      <c r="L137" s="223">
        <v>200292</v>
      </c>
      <c r="M137" s="223">
        <f>216147+1</f>
        <v>216148</v>
      </c>
      <c r="N137" s="221">
        <f t="shared" si="23"/>
        <v>200292358</v>
      </c>
      <c r="O137" s="221">
        <f t="shared" si="23"/>
        <v>216146592</v>
      </c>
      <c r="P137" s="239">
        <f aca="true" t="shared" si="40" ref="P137:P144">+C137+L137-M137</f>
        <v>-2060572</v>
      </c>
    </row>
    <row r="138" spans="1:16" ht="11.25">
      <c r="A138" s="182">
        <v>168504</v>
      </c>
      <c r="B138" s="117" t="s">
        <v>3524</v>
      </c>
      <c r="C138" s="184">
        <v>-13172</v>
      </c>
      <c r="D138" s="188">
        <v>0</v>
      </c>
      <c r="E138" s="188">
        <v>367830766</v>
      </c>
      <c r="F138" s="224">
        <v>0</v>
      </c>
      <c r="G138" s="224">
        <v>93208</v>
      </c>
      <c r="H138" s="224">
        <v>0</v>
      </c>
      <c r="I138" s="224">
        <v>93208</v>
      </c>
      <c r="J138" s="224">
        <v>3380400</v>
      </c>
      <c r="K138" s="224">
        <v>3279816</v>
      </c>
      <c r="L138" s="223">
        <v>3380</v>
      </c>
      <c r="M138" s="223">
        <v>3466</v>
      </c>
      <c r="N138" s="221">
        <f t="shared" si="23"/>
        <v>3380400</v>
      </c>
      <c r="O138" s="221">
        <f t="shared" si="23"/>
        <v>3466232</v>
      </c>
      <c r="P138" s="239">
        <f t="shared" si="40"/>
        <v>-13258</v>
      </c>
    </row>
    <row r="139" spans="1:16" ht="11.25">
      <c r="A139" s="182">
        <v>168505</v>
      </c>
      <c r="B139" s="117" t="s">
        <v>841</v>
      </c>
      <c r="C139" s="184">
        <v>0</v>
      </c>
      <c r="D139" s="188">
        <v>0</v>
      </c>
      <c r="E139" s="188">
        <v>150928312</v>
      </c>
      <c r="F139" s="224"/>
      <c r="G139" s="224"/>
      <c r="H139" s="224"/>
      <c r="I139" s="224"/>
      <c r="J139" s="224"/>
      <c r="K139" s="224"/>
      <c r="L139" s="223">
        <v>0</v>
      </c>
      <c r="M139" s="223">
        <v>0</v>
      </c>
      <c r="N139" s="221">
        <f aca="true" t="shared" si="41" ref="N139:O202">+F139+H139+J139</f>
        <v>0</v>
      </c>
      <c r="O139" s="221">
        <f t="shared" si="41"/>
        <v>0</v>
      </c>
      <c r="P139" s="239">
        <f t="shared" si="40"/>
        <v>0</v>
      </c>
    </row>
    <row r="140" spans="1:16" ht="11.25">
      <c r="A140" s="182">
        <v>168506</v>
      </c>
      <c r="B140" s="117" t="s">
        <v>842</v>
      </c>
      <c r="C140" s="184">
        <v>-788849</v>
      </c>
      <c r="D140" s="188">
        <v>0</v>
      </c>
      <c r="E140" s="188">
        <v>476064964.51</v>
      </c>
      <c r="F140" s="224">
        <v>444729</v>
      </c>
      <c r="G140" s="224">
        <v>375508</v>
      </c>
      <c r="H140" s="224">
        <v>0</v>
      </c>
      <c r="I140" s="224">
        <v>377284</v>
      </c>
      <c r="J140" s="224">
        <v>0</v>
      </c>
      <c r="K140" s="224">
        <v>1753509.51</v>
      </c>
      <c r="L140" s="223">
        <f>445+1</f>
        <v>446</v>
      </c>
      <c r="M140" s="223">
        <v>2506</v>
      </c>
      <c r="N140" s="221">
        <f t="shared" si="41"/>
        <v>444729</v>
      </c>
      <c r="O140" s="221">
        <f t="shared" si="41"/>
        <v>2506301.51</v>
      </c>
      <c r="P140" s="239">
        <f t="shared" si="40"/>
        <v>-790909</v>
      </c>
    </row>
    <row r="141" spans="1:16" ht="11.25">
      <c r="A141" s="182">
        <v>168507</v>
      </c>
      <c r="B141" s="117" t="s">
        <v>3521</v>
      </c>
      <c r="C141" s="184">
        <v>-1598662</v>
      </c>
      <c r="D141" s="188">
        <v>0</v>
      </c>
      <c r="E141" s="188">
        <v>189242616</v>
      </c>
      <c r="F141" s="224">
        <v>340000</v>
      </c>
      <c r="G141" s="224">
        <v>37396343</v>
      </c>
      <c r="H141" s="224">
        <v>0</v>
      </c>
      <c r="I141" s="224">
        <v>39809560</v>
      </c>
      <c r="J141" s="224">
        <v>193324779</v>
      </c>
      <c r="K141" s="224">
        <v>146396150</v>
      </c>
      <c r="L141" s="223">
        <v>193665</v>
      </c>
      <c r="M141" s="223">
        <v>223602</v>
      </c>
      <c r="N141" s="221">
        <f t="shared" si="41"/>
        <v>193664779</v>
      </c>
      <c r="O141" s="221">
        <f t="shared" si="41"/>
        <v>223602053</v>
      </c>
      <c r="P141" s="239">
        <f t="shared" si="40"/>
        <v>-1628599</v>
      </c>
    </row>
    <row r="142" spans="1:16" ht="11.25">
      <c r="A142" s="182">
        <v>168508</v>
      </c>
      <c r="B142" s="117" t="s">
        <v>843</v>
      </c>
      <c r="C142" s="184">
        <v>-189133</v>
      </c>
      <c r="D142" s="188">
        <v>0</v>
      </c>
      <c r="E142" s="188">
        <v>16887148</v>
      </c>
      <c r="F142" s="224">
        <v>0</v>
      </c>
      <c r="G142" s="224">
        <v>5390380</v>
      </c>
      <c r="H142" s="224">
        <v>0</v>
      </c>
      <c r="I142" s="224">
        <v>5390380</v>
      </c>
      <c r="J142" s="224">
        <v>0</v>
      </c>
      <c r="K142" s="224">
        <v>5390380</v>
      </c>
      <c r="L142" s="223">
        <v>0</v>
      </c>
      <c r="M142" s="223">
        <v>16171</v>
      </c>
      <c r="N142" s="221">
        <f t="shared" si="41"/>
        <v>0</v>
      </c>
      <c r="O142" s="221">
        <f t="shared" si="41"/>
        <v>16171140</v>
      </c>
      <c r="P142" s="239">
        <f t="shared" si="40"/>
        <v>-205304</v>
      </c>
    </row>
    <row r="143" spans="1:16" ht="11.25">
      <c r="A143" s="182">
        <v>168509</v>
      </c>
      <c r="B143" s="117" t="s">
        <v>844</v>
      </c>
      <c r="C143" s="184">
        <v>-3477</v>
      </c>
      <c r="D143" s="188">
        <v>0</v>
      </c>
      <c r="E143" s="188">
        <v>26266709</v>
      </c>
      <c r="F143" s="224"/>
      <c r="G143" s="224"/>
      <c r="H143" s="224">
        <v>0</v>
      </c>
      <c r="I143" s="224">
        <v>0</v>
      </c>
      <c r="J143" s="224">
        <v>0</v>
      </c>
      <c r="K143" s="224">
        <v>250000</v>
      </c>
      <c r="L143" s="223">
        <v>0</v>
      </c>
      <c r="M143" s="223">
        <v>250</v>
      </c>
      <c r="N143" s="221">
        <f t="shared" si="41"/>
        <v>0</v>
      </c>
      <c r="O143" s="221">
        <f t="shared" si="41"/>
        <v>250000</v>
      </c>
      <c r="P143" s="239">
        <f t="shared" si="40"/>
        <v>-3727</v>
      </c>
    </row>
    <row r="144" spans="1:16" ht="11.25">
      <c r="A144" s="182">
        <v>168599</v>
      </c>
      <c r="B144" s="117" t="s">
        <v>3528</v>
      </c>
      <c r="C144" s="184">
        <v>0</v>
      </c>
      <c r="D144" s="188">
        <v>0</v>
      </c>
      <c r="E144" s="188">
        <v>0</v>
      </c>
      <c r="F144" s="224"/>
      <c r="G144" s="224"/>
      <c r="H144" s="224"/>
      <c r="I144" s="224"/>
      <c r="J144" s="224"/>
      <c r="K144" s="224"/>
      <c r="L144" s="223">
        <v>0</v>
      </c>
      <c r="M144" s="223">
        <v>0</v>
      </c>
      <c r="N144" s="221">
        <f t="shared" si="41"/>
        <v>0</v>
      </c>
      <c r="O144" s="221">
        <f t="shared" si="41"/>
        <v>0</v>
      </c>
      <c r="P144" s="239">
        <f t="shared" si="40"/>
        <v>0</v>
      </c>
    </row>
    <row r="145" spans="1:16" ht="11.25">
      <c r="A145" s="178">
        <v>190000</v>
      </c>
      <c r="B145" s="90" t="s">
        <v>845</v>
      </c>
      <c r="C145" s="220">
        <f aca="true" t="shared" si="42" ref="C145:M145">C146+C153+C165+C167+C171+C176+C180+C184+C187+C189+C193+C197+C207+C212+C214</f>
        <v>130310611</v>
      </c>
      <c r="D145" s="220">
        <f t="shared" si="42"/>
        <v>-86183.33</v>
      </c>
      <c r="E145" s="220">
        <f t="shared" si="42"/>
        <v>-1431283479.02</v>
      </c>
      <c r="F145" s="220">
        <f t="shared" si="42"/>
        <v>49927972303.36</v>
      </c>
      <c r="G145" s="220">
        <f t="shared" si="42"/>
        <v>2606171891.42</v>
      </c>
      <c r="H145" s="220">
        <f t="shared" si="42"/>
        <v>48366830184</v>
      </c>
      <c r="I145" s="220">
        <f t="shared" si="42"/>
        <v>47442108484.89</v>
      </c>
      <c r="J145" s="220">
        <f t="shared" si="42"/>
        <v>179885176744.81</v>
      </c>
      <c r="K145" s="220">
        <f t="shared" si="42"/>
        <v>188952378132.99002</v>
      </c>
      <c r="L145" s="220">
        <f t="shared" si="42"/>
        <v>278179983</v>
      </c>
      <c r="M145" s="220">
        <f t="shared" si="42"/>
        <v>239000660</v>
      </c>
      <c r="N145" s="221">
        <f t="shared" si="41"/>
        <v>278179979232.17</v>
      </c>
      <c r="O145" s="221">
        <f t="shared" si="41"/>
        <v>239000658509.30002</v>
      </c>
      <c r="P145" s="238">
        <f>P146+P153+P165+P167+P171+P176+P180+P184+P187+P189+P193+P197+P207+P212+P214</f>
        <v>169489934</v>
      </c>
    </row>
    <row r="146" spans="1:16" ht="11.25">
      <c r="A146" s="178">
        <v>190500</v>
      </c>
      <c r="B146" s="90" t="s">
        <v>846</v>
      </c>
      <c r="C146" s="220">
        <f aca="true" t="shared" si="43" ref="C146:M146">SUM(C147:C152)</f>
        <v>69344</v>
      </c>
      <c r="D146" s="220">
        <f t="shared" si="43"/>
        <v>-86183.33</v>
      </c>
      <c r="E146" s="220">
        <f t="shared" si="43"/>
        <v>-51881515.81999999</v>
      </c>
      <c r="F146" s="220">
        <f t="shared" si="43"/>
        <v>190000</v>
      </c>
      <c r="G146" s="220">
        <f t="shared" si="43"/>
        <v>11594610.83</v>
      </c>
      <c r="H146" s="220">
        <f t="shared" si="43"/>
        <v>2486556</v>
      </c>
      <c r="I146" s="220">
        <f t="shared" si="43"/>
        <v>11594610.83</v>
      </c>
      <c r="J146" s="220">
        <f t="shared" si="43"/>
        <v>2486556</v>
      </c>
      <c r="K146" s="220">
        <f t="shared" si="43"/>
        <v>14288379.83</v>
      </c>
      <c r="L146" s="220">
        <f t="shared" si="43"/>
        <v>5163</v>
      </c>
      <c r="M146" s="220">
        <f t="shared" si="43"/>
        <v>37478</v>
      </c>
      <c r="N146" s="221">
        <f t="shared" si="41"/>
        <v>5163112</v>
      </c>
      <c r="O146" s="221">
        <f t="shared" si="41"/>
        <v>37477601.49</v>
      </c>
      <c r="P146" s="238">
        <f>SUM(P147:P152)</f>
        <v>37029</v>
      </c>
    </row>
    <row r="147" spans="1:16" ht="11.25">
      <c r="A147" s="182">
        <v>190501</v>
      </c>
      <c r="B147" s="93" t="s">
        <v>847</v>
      </c>
      <c r="C147" s="184">
        <v>69150</v>
      </c>
      <c r="D147" s="188">
        <v>0</v>
      </c>
      <c r="E147" s="188">
        <v>-49169114.489999995</v>
      </c>
      <c r="F147" s="224">
        <v>0</v>
      </c>
      <c r="G147" s="224">
        <v>11525010.83</v>
      </c>
      <c r="H147" s="224">
        <v>2486556</v>
      </c>
      <c r="I147" s="224">
        <v>11525010.83</v>
      </c>
      <c r="J147" s="224">
        <v>2486556</v>
      </c>
      <c r="K147" s="224">
        <v>14218779.83</v>
      </c>
      <c r="L147" s="223">
        <v>4973</v>
      </c>
      <c r="M147" s="223">
        <v>37269</v>
      </c>
      <c r="N147" s="221">
        <f t="shared" si="41"/>
        <v>4973112</v>
      </c>
      <c r="O147" s="221">
        <f t="shared" si="41"/>
        <v>37268801.49</v>
      </c>
      <c r="P147" s="239">
        <f aca="true" t="shared" si="44" ref="P147:P152">+C147+L147-M147</f>
        <v>36854</v>
      </c>
    </row>
    <row r="148" spans="1:16" ht="11.25">
      <c r="A148" s="182">
        <v>190504</v>
      </c>
      <c r="B148" s="93" t="s">
        <v>3499</v>
      </c>
      <c r="C148" s="184">
        <v>0</v>
      </c>
      <c r="D148" s="188">
        <v>-86183.33</v>
      </c>
      <c r="E148" s="188">
        <v>0</v>
      </c>
      <c r="F148" s="224"/>
      <c r="G148" s="224"/>
      <c r="H148" s="224"/>
      <c r="I148" s="224"/>
      <c r="J148" s="224"/>
      <c r="K148" s="224"/>
      <c r="L148" s="223">
        <v>0</v>
      </c>
      <c r="M148" s="223">
        <v>0</v>
      </c>
      <c r="N148" s="221">
        <f t="shared" si="41"/>
        <v>0</v>
      </c>
      <c r="O148" s="221">
        <f t="shared" si="41"/>
        <v>0</v>
      </c>
      <c r="P148" s="238">
        <f t="shared" si="44"/>
        <v>0</v>
      </c>
    </row>
    <row r="149" spans="1:16" ht="22.5">
      <c r="A149" s="182">
        <v>190505</v>
      </c>
      <c r="B149" s="93" t="s">
        <v>848</v>
      </c>
      <c r="C149" s="184">
        <v>194</v>
      </c>
      <c r="D149" s="188">
        <v>0</v>
      </c>
      <c r="E149" s="188">
        <v>-2712401.33</v>
      </c>
      <c r="F149" s="224">
        <v>190000</v>
      </c>
      <c r="G149" s="224">
        <v>69600</v>
      </c>
      <c r="H149" s="224">
        <v>0</v>
      </c>
      <c r="I149" s="224">
        <v>69600</v>
      </c>
      <c r="J149" s="224">
        <v>0</v>
      </c>
      <c r="K149" s="224">
        <v>69600</v>
      </c>
      <c r="L149" s="223">
        <v>190</v>
      </c>
      <c r="M149" s="223">
        <v>209</v>
      </c>
      <c r="N149" s="221">
        <f t="shared" si="41"/>
        <v>190000</v>
      </c>
      <c r="O149" s="221">
        <f t="shared" si="41"/>
        <v>208800</v>
      </c>
      <c r="P149" s="239">
        <f t="shared" si="44"/>
        <v>175</v>
      </c>
    </row>
    <row r="150" spans="1:16" ht="11.25">
      <c r="A150" s="182">
        <v>190507</v>
      </c>
      <c r="B150" s="93" t="s">
        <v>849</v>
      </c>
      <c r="C150" s="184">
        <v>0</v>
      </c>
      <c r="D150" s="188">
        <v>0</v>
      </c>
      <c r="E150" s="188">
        <v>0</v>
      </c>
      <c r="F150" s="224"/>
      <c r="G150" s="224"/>
      <c r="H150" s="224"/>
      <c r="I150" s="224"/>
      <c r="J150" s="224"/>
      <c r="K150" s="224"/>
      <c r="L150" s="223">
        <v>0</v>
      </c>
      <c r="M150" s="223">
        <v>0</v>
      </c>
      <c r="N150" s="221">
        <f t="shared" si="41"/>
        <v>0</v>
      </c>
      <c r="O150" s="221">
        <f t="shared" si="41"/>
        <v>0</v>
      </c>
      <c r="P150" s="238">
        <f t="shared" si="44"/>
        <v>0</v>
      </c>
    </row>
    <row r="151" spans="1:16" ht="11.25">
      <c r="A151" s="182">
        <v>190508</v>
      </c>
      <c r="B151" s="93" t="s">
        <v>850</v>
      </c>
      <c r="C151" s="184">
        <v>0</v>
      </c>
      <c r="D151" s="188">
        <v>0</v>
      </c>
      <c r="E151" s="188">
        <v>0</v>
      </c>
      <c r="F151" s="224"/>
      <c r="G151" s="224"/>
      <c r="H151" s="224"/>
      <c r="I151" s="224"/>
      <c r="J151" s="224"/>
      <c r="K151" s="224"/>
      <c r="L151" s="223">
        <v>0</v>
      </c>
      <c r="M151" s="223">
        <v>0</v>
      </c>
      <c r="N151" s="221">
        <f t="shared" si="41"/>
        <v>0</v>
      </c>
      <c r="O151" s="221">
        <f t="shared" si="41"/>
        <v>0</v>
      </c>
      <c r="P151" s="238">
        <f t="shared" si="44"/>
        <v>0</v>
      </c>
    </row>
    <row r="152" spans="1:16" ht="11.25">
      <c r="A152" s="182">
        <v>190590</v>
      </c>
      <c r="B152" s="93" t="s">
        <v>851</v>
      </c>
      <c r="C152" s="184">
        <v>0</v>
      </c>
      <c r="D152" s="188">
        <v>0</v>
      </c>
      <c r="E152" s="188">
        <v>0</v>
      </c>
      <c r="F152" s="224"/>
      <c r="G152" s="224"/>
      <c r="H152" s="224"/>
      <c r="I152" s="224"/>
      <c r="J152" s="224"/>
      <c r="K152" s="224"/>
      <c r="L152" s="223">
        <v>0</v>
      </c>
      <c r="M152" s="223">
        <v>0</v>
      </c>
      <c r="N152" s="221">
        <f t="shared" si="41"/>
        <v>0</v>
      </c>
      <c r="O152" s="221">
        <f t="shared" si="41"/>
        <v>0</v>
      </c>
      <c r="P152" s="238">
        <f t="shared" si="44"/>
        <v>0</v>
      </c>
    </row>
    <row r="153" spans="1:16" ht="11.25">
      <c r="A153" s="178">
        <v>191000</v>
      </c>
      <c r="B153" s="90" t="s">
        <v>852</v>
      </c>
      <c r="C153" s="220">
        <f aca="true" t="shared" si="45" ref="C153:M153">SUM(C154:C164)</f>
        <v>54012</v>
      </c>
      <c r="D153" s="220">
        <f t="shared" si="45"/>
        <v>0</v>
      </c>
      <c r="E153" s="220">
        <f t="shared" si="45"/>
        <v>-845481598.04</v>
      </c>
      <c r="F153" s="220">
        <f t="shared" si="45"/>
        <v>94940695.36</v>
      </c>
      <c r="G153" s="220">
        <f t="shared" si="45"/>
        <v>107094086.96</v>
      </c>
      <c r="H153" s="220">
        <f t="shared" si="45"/>
        <v>26779484</v>
      </c>
      <c r="I153" s="220">
        <f t="shared" si="45"/>
        <v>9660060.43</v>
      </c>
      <c r="J153" s="220">
        <f t="shared" si="45"/>
        <v>73031890.23</v>
      </c>
      <c r="K153" s="220">
        <f t="shared" si="45"/>
        <v>91850520.24</v>
      </c>
      <c r="L153" s="220">
        <f t="shared" si="45"/>
        <v>194754</v>
      </c>
      <c r="M153" s="220">
        <f t="shared" si="45"/>
        <v>208605</v>
      </c>
      <c r="N153" s="221">
        <f t="shared" si="41"/>
        <v>194752069.59</v>
      </c>
      <c r="O153" s="221">
        <f t="shared" si="41"/>
        <v>208604667.63</v>
      </c>
      <c r="P153" s="238">
        <f>SUM(P154:P164)</f>
        <v>40161</v>
      </c>
    </row>
    <row r="154" spans="1:16" ht="11.25">
      <c r="A154" s="182">
        <v>191001</v>
      </c>
      <c r="B154" s="93" t="s">
        <v>853</v>
      </c>
      <c r="C154" s="184">
        <v>54012</v>
      </c>
      <c r="D154" s="125">
        <v>0</v>
      </c>
      <c r="E154" s="190">
        <v>14514331.370000005</v>
      </c>
      <c r="F154" s="224">
        <v>94428478.36</v>
      </c>
      <c r="G154" s="224">
        <v>99543231.22</v>
      </c>
      <c r="H154" s="224">
        <v>15672330</v>
      </c>
      <c r="I154" s="224">
        <v>4616328.43</v>
      </c>
      <c r="J154" s="224">
        <v>60339207.64</v>
      </c>
      <c r="K154" s="224">
        <v>80133054.39</v>
      </c>
      <c r="L154" s="223">
        <f>170440+2</f>
        <v>170442</v>
      </c>
      <c r="M154" s="223">
        <v>184293</v>
      </c>
      <c r="N154" s="221">
        <f t="shared" si="41"/>
        <v>170440016</v>
      </c>
      <c r="O154" s="221">
        <f t="shared" si="41"/>
        <v>184292614.04000002</v>
      </c>
      <c r="P154" s="239">
        <f aca="true" t="shared" si="46" ref="P154:P164">+C154+L154-M154</f>
        <v>40161</v>
      </c>
    </row>
    <row r="155" spans="1:16" ht="11.25">
      <c r="A155" s="182">
        <v>191003</v>
      </c>
      <c r="B155" s="93" t="s">
        <v>854</v>
      </c>
      <c r="C155" s="184">
        <v>0</v>
      </c>
      <c r="D155" s="125">
        <v>0</v>
      </c>
      <c r="E155" s="190">
        <v>0</v>
      </c>
      <c r="F155" s="224"/>
      <c r="G155" s="224"/>
      <c r="H155" s="224"/>
      <c r="I155" s="224"/>
      <c r="J155" s="224"/>
      <c r="K155" s="224"/>
      <c r="L155" s="223">
        <v>0</v>
      </c>
      <c r="M155" s="223">
        <v>0</v>
      </c>
      <c r="N155" s="221">
        <f t="shared" si="41"/>
        <v>0</v>
      </c>
      <c r="O155" s="221">
        <f t="shared" si="41"/>
        <v>0</v>
      </c>
      <c r="P155" s="238">
        <f t="shared" si="46"/>
        <v>0</v>
      </c>
    </row>
    <row r="156" spans="1:16" ht="11.25">
      <c r="A156" s="182">
        <v>191004</v>
      </c>
      <c r="B156" s="117" t="s">
        <v>855</v>
      </c>
      <c r="C156" s="184">
        <v>0</v>
      </c>
      <c r="D156" s="190">
        <v>0</v>
      </c>
      <c r="E156" s="190">
        <v>-5690647.41</v>
      </c>
      <c r="F156" s="224">
        <v>0</v>
      </c>
      <c r="G156" s="224">
        <v>7038638.74</v>
      </c>
      <c r="H156" s="224"/>
      <c r="I156" s="224"/>
      <c r="J156" s="224">
        <v>12692682.59</v>
      </c>
      <c r="K156" s="224">
        <v>5654043.85</v>
      </c>
      <c r="L156" s="223">
        <v>12693</v>
      </c>
      <c r="M156" s="223">
        <v>12693</v>
      </c>
      <c r="N156" s="221">
        <f t="shared" si="41"/>
        <v>12692682.59</v>
      </c>
      <c r="O156" s="221">
        <f t="shared" si="41"/>
        <v>12692682.59</v>
      </c>
      <c r="P156" s="238">
        <f t="shared" si="46"/>
        <v>0</v>
      </c>
    </row>
    <row r="157" spans="1:16" ht="11.25">
      <c r="A157" s="182">
        <v>191008</v>
      </c>
      <c r="B157" s="117" t="s">
        <v>856</v>
      </c>
      <c r="C157" s="184">
        <v>0</v>
      </c>
      <c r="D157" s="190">
        <v>0</v>
      </c>
      <c r="E157" s="190">
        <v>0</v>
      </c>
      <c r="F157" s="224"/>
      <c r="G157" s="224"/>
      <c r="H157" s="224"/>
      <c r="I157" s="224"/>
      <c r="J157" s="224"/>
      <c r="K157" s="224"/>
      <c r="L157" s="223">
        <v>0</v>
      </c>
      <c r="M157" s="223">
        <v>0</v>
      </c>
      <c r="N157" s="221">
        <f t="shared" si="41"/>
        <v>0</v>
      </c>
      <c r="O157" s="221">
        <f t="shared" si="41"/>
        <v>0</v>
      </c>
      <c r="P157" s="238">
        <f t="shared" si="46"/>
        <v>0</v>
      </c>
    </row>
    <row r="158" spans="1:16" ht="11.25">
      <c r="A158" s="182">
        <v>191012</v>
      </c>
      <c r="B158" s="117" t="s">
        <v>857</v>
      </c>
      <c r="C158" s="184">
        <v>0</v>
      </c>
      <c r="D158" s="190">
        <v>0</v>
      </c>
      <c r="E158" s="190">
        <v>0</v>
      </c>
      <c r="F158" s="224"/>
      <c r="G158" s="224"/>
      <c r="H158" s="224"/>
      <c r="I158" s="224"/>
      <c r="J158" s="224"/>
      <c r="K158" s="224"/>
      <c r="L158" s="223">
        <v>0</v>
      </c>
      <c r="M158" s="223">
        <v>0</v>
      </c>
      <c r="N158" s="221">
        <f t="shared" si="41"/>
        <v>0</v>
      </c>
      <c r="O158" s="221">
        <f t="shared" si="41"/>
        <v>0</v>
      </c>
      <c r="P158" s="238">
        <f t="shared" si="46"/>
        <v>0</v>
      </c>
    </row>
    <row r="159" spans="1:16" ht="11.25">
      <c r="A159" s="182">
        <v>191021</v>
      </c>
      <c r="B159" s="117" t="s">
        <v>858</v>
      </c>
      <c r="C159" s="184">
        <v>0</v>
      </c>
      <c r="D159" s="190">
        <v>0</v>
      </c>
      <c r="E159" s="190">
        <v>-253344</v>
      </c>
      <c r="F159" s="224">
        <v>512217</v>
      </c>
      <c r="G159" s="224">
        <v>512217</v>
      </c>
      <c r="H159" s="224">
        <v>11107154</v>
      </c>
      <c r="I159" s="224">
        <v>5043732</v>
      </c>
      <c r="J159" s="224">
        <v>0</v>
      </c>
      <c r="K159" s="224">
        <v>6063422</v>
      </c>
      <c r="L159" s="223">
        <v>11619</v>
      </c>
      <c r="M159" s="223">
        <v>11619</v>
      </c>
      <c r="N159" s="221">
        <f t="shared" si="41"/>
        <v>11619371</v>
      </c>
      <c r="O159" s="221">
        <f t="shared" si="41"/>
        <v>11619371</v>
      </c>
      <c r="P159" s="238">
        <f t="shared" si="46"/>
        <v>0</v>
      </c>
    </row>
    <row r="160" spans="1:16" ht="11.25">
      <c r="A160" s="182">
        <v>191022</v>
      </c>
      <c r="B160" s="93" t="s">
        <v>859</v>
      </c>
      <c r="C160" s="184">
        <v>0</v>
      </c>
      <c r="D160" s="190">
        <v>0</v>
      </c>
      <c r="E160" s="190">
        <v>0</v>
      </c>
      <c r="F160" s="224"/>
      <c r="G160" s="224"/>
      <c r="H160" s="224"/>
      <c r="I160" s="224"/>
      <c r="J160" s="224"/>
      <c r="K160" s="224"/>
      <c r="L160" s="223">
        <v>0</v>
      </c>
      <c r="M160" s="223">
        <v>0</v>
      </c>
      <c r="N160" s="221">
        <f t="shared" si="41"/>
        <v>0</v>
      </c>
      <c r="O160" s="221">
        <f t="shared" si="41"/>
        <v>0</v>
      </c>
      <c r="P160" s="238">
        <f t="shared" si="46"/>
        <v>0</v>
      </c>
    </row>
    <row r="161" spans="1:16" ht="11.25">
      <c r="A161" s="182">
        <v>191023</v>
      </c>
      <c r="B161" s="93" t="s">
        <v>860</v>
      </c>
      <c r="C161" s="184">
        <v>0</v>
      </c>
      <c r="D161" s="190">
        <v>0</v>
      </c>
      <c r="E161" s="190">
        <v>0</v>
      </c>
      <c r="F161" s="224"/>
      <c r="G161" s="224"/>
      <c r="H161" s="224"/>
      <c r="I161" s="224"/>
      <c r="J161" s="224"/>
      <c r="K161" s="224"/>
      <c r="L161" s="223">
        <v>0</v>
      </c>
      <c r="M161" s="223">
        <v>0</v>
      </c>
      <c r="N161" s="221">
        <f t="shared" si="41"/>
        <v>0</v>
      </c>
      <c r="O161" s="221">
        <f t="shared" si="41"/>
        <v>0</v>
      </c>
      <c r="P161" s="238">
        <f t="shared" si="46"/>
        <v>0</v>
      </c>
    </row>
    <row r="162" spans="1:16" ht="11.25">
      <c r="A162" s="182">
        <v>191026</v>
      </c>
      <c r="B162" s="93" t="s">
        <v>850</v>
      </c>
      <c r="C162" s="184">
        <v>0</v>
      </c>
      <c r="D162" s="190">
        <v>0</v>
      </c>
      <c r="E162" s="190">
        <v>-854051938</v>
      </c>
      <c r="F162" s="224"/>
      <c r="G162" s="224"/>
      <c r="H162" s="224"/>
      <c r="I162" s="224"/>
      <c r="J162" s="224"/>
      <c r="K162" s="224"/>
      <c r="L162" s="223">
        <v>0</v>
      </c>
      <c r="M162" s="223">
        <v>0</v>
      </c>
      <c r="N162" s="221">
        <f t="shared" si="41"/>
        <v>0</v>
      </c>
      <c r="O162" s="221">
        <f t="shared" si="41"/>
        <v>0</v>
      </c>
      <c r="P162" s="238">
        <f t="shared" si="46"/>
        <v>0</v>
      </c>
    </row>
    <row r="163" spans="1:16" ht="11.25">
      <c r="A163" s="182">
        <v>191090</v>
      </c>
      <c r="B163" s="93" t="s">
        <v>861</v>
      </c>
      <c r="C163" s="184">
        <v>0</v>
      </c>
      <c r="D163" s="190">
        <v>0</v>
      </c>
      <c r="E163" s="190">
        <v>0</v>
      </c>
      <c r="F163" s="224"/>
      <c r="G163" s="224"/>
      <c r="H163" s="224"/>
      <c r="I163" s="224"/>
      <c r="J163" s="224"/>
      <c r="K163" s="224"/>
      <c r="L163" s="223">
        <v>0</v>
      </c>
      <c r="M163" s="223">
        <v>0</v>
      </c>
      <c r="N163" s="221">
        <f t="shared" si="41"/>
        <v>0</v>
      </c>
      <c r="O163" s="221">
        <f t="shared" si="41"/>
        <v>0</v>
      </c>
      <c r="P163" s="238">
        <f t="shared" si="46"/>
        <v>0</v>
      </c>
    </row>
    <row r="164" spans="1:16" ht="11.25">
      <c r="A164" s="182">
        <v>191099</v>
      </c>
      <c r="B164" s="117" t="s">
        <v>3528</v>
      </c>
      <c r="C164" s="184">
        <v>0</v>
      </c>
      <c r="D164" s="190">
        <v>0</v>
      </c>
      <c r="E164" s="190">
        <v>0</v>
      </c>
      <c r="F164" s="224"/>
      <c r="G164" s="224"/>
      <c r="H164" s="224"/>
      <c r="I164" s="224"/>
      <c r="J164" s="224"/>
      <c r="K164" s="224"/>
      <c r="L164" s="223">
        <v>0</v>
      </c>
      <c r="M164" s="223">
        <v>0</v>
      </c>
      <c r="N164" s="221">
        <f t="shared" si="41"/>
        <v>0</v>
      </c>
      <c r="O164" s="221">
        <f t="shared" si="41"/>
        <v>0</v>
      </c>
      <c r="P164" s="238">
        <f t="shared" si="46"/>
        <v>0</v>
      </c>
    </row>
    <row r="165" spans="1:16" ht="11.25">
      <c r="A165" s="178">
        <v>191100</v>
      </c>
      <c r="B165" s="116" t="s">
        <v>862</v>
      </c>
      <c r="C165" s="220">
        <f aca="true" t="shared" si="47" ref="C165:M165">C166</f>
        <v>118780549</v>
      </c>
      <c r="D165" s="220">
        <f t="shared" si="47"/>
        <v>0</v>
      </c>
      <c r="E165" s="220">
        <f t="shared" si="47"/>
        <v>118780549</v>
      </c>
      <c r="F165" s="220">
        <f t="shared" si="47"/>
        <v>0</v>
      </c>
      <c r="G165" s="220">
        <f t="shared" si="47"/>
        <v>0</v>
      </c>
      <c r="H165" s="220">
        <f t="shared" si="47"/>
        <v>0</v>
      </c>
      <c r="I165" s="220">
        <f t="shared" si="47"/>
        <v>0</v>
      </c>
      <c r="J165" s="220">
        <f t="shared" si="47"/>
        <v>61279400985.83</v>
      </c>
      <c r="K165" s="220">
        <f t="shared" si="47"/>
        <v>22546607758</v>
      </c>
      <c r="L165" s="220">
        <f t="shared" si="47"/>
        <v>61279401</v>
      </c>
      <c r="M165" s="220">
        <f t="shared" si="47"/>
        <v>22546608</v>
      </c>
      <c r="N165" s="221">
        <f t="shared" si="41"/>
        <v>61279400985.83</v>
      </c>
      <c r="O165" s="221">
        <f t="shared" si="41"/>
        <v>22546607758</v>
      </c>
      <c r="P165" s="238">
        <f>P166</f>
        <v>157513342</v>
      </c>
    </row>
    <row r="166" spans="1:16" ht="11.25">
      <c r="A166" s="182">
        <v>191102</v>
      </c>
      <c r="B166" s="117" t="s">
        <v>863</v>
      </c>
      <c r="C166" s="184">
        <v>118780549</v>
      </c>
      <c r="D166" s="190">
        <v>0</v>
      </c>
      <c r="E166" s="190">
        <v>118780549</v>
      </c>
      <c r="F166" s="224"/>
      <c r="G166" s="224"/>
      <c r="H166" s="224"/>
      <c r="I166" s="224"/>
      <c r="J166" s="224">
        <v>61279400985.83</v>
      </c>
      <c r="K166" s="224">
        <v>22546607758</v>
      </c>
      <c r="L166" s="223">
        <v>61279401</v>
      </c>
      <c r="M166" s="223">
        <v>22546608</v>
      </c>
      <c r="N166" s="221">
        <f t="shared" si="41"/>
        <v>61279400985.83</v>
      </c>
      <c r="O166" s="221">
        <f t="shared" si="41"/>
        <v>22546607758</v>
      </c>
      <c r="P166" s="239">
        <f>+C166+L166-M166</f>
        <v>157513342</v>
      </c>
    </row>
    <row r="167" spans="1:16" ht="11.25">
      <c r="A167" s="178">
        <v>192000</v>
      </c>
      <c r="B167" s="116" t="s">
        <v>864</v>
      </c>
      <c r="C167" s="220">
        <f aca="true" t="shared" si="48" ref="C167:M167">SUM(C168:C170)</f>
        <v>7726768</v>
      </c>
      <c r="D167" s="220">
        <f t="shared" si="48"/>
        <v>0</v>
      </c>
      <c r="E167" s="220">
        <f t="shared" si="48"/>
        <v>7726768</v>
      </c>
      <c r="F167" s="220">
        <f t="shared" si="48"/>
        <v>0</v>
      </c>
      <c r="G167" s="220">
        <f t="shared" si="48"/>
        <v>0</v>
      </c>
      <c r="H167" s="220">
        <f t="shared" si="48"/>
        <v>0</v>
      </c>
      <c r="I167" s="220">
        <f t="shared" si="48"/>
        <v>0</v>
      </c>
      <c r="J167" s="220">
        <f t="shared" si="48"/>
        <v>702567000</v>
      </c>
      <c r="K167" s="220">
        <f t="shared" si="48"/>
        <v>1000000</v>
      </c>
      <c r="L167" s="220">
        <f t="shared" si="48"/>
        <v>702567</v>
      </c>
      <c r="M167" s="220">
        <f t="shared" si="48"/>
        <v>1000</v>
      </c>
      <c r="N167" s="221">
        <f t="shared" si="41"/>
        <v>702567000</v>
      </c>
      <c r="O167" s="221">
        <f t="shared" si="41"/>
        <v>1000000</v>
      </c>
      <c r="P167" s="238">
        <f>SUM(P168:P170)</f>
        <v>8428335</v>
      </c>
    </row>
    <row r="168" spans="1:16" ht="11.25">
      <c r="A168" s="182">
        <v>192002</v>
      </c>
      <c r="B168" s="117" t="s">
        <v>865</v>
      </c>
      <c r="C168" s="184">
        <v>7599116</v>
      </c>
      <c r="D168" s="190">
        <v>0</v>
      </c>
      <c r="E168" s="190">
        <v>7599116</v>
      </c>
      <c r="F168" s="224"/>
      <c r="G168" s="224"/>
      <c r="H168" s="224"/>
      <c r="I168" s="224"/>
      <c r="J168" s="224">
        <v>702567000</v>
      </c>
      <c r="K168" s="224">
        <v>1000000</v>
      </c>
      <c r="L168" s="223">
        <v>702567</v>
      </c>
      <c r="M168" s="223">
        <v>1000</v>
      </c>
      <c r="N168" s="221">
        <f t="shared" si="41"/>
        <v>702567000</v>
      </c>
      <c r="O168" s="221">
        <f t="shared" si="41"/>
        <v>1000000</v>
      </c>
      <c r="P168" s="239">
        <f>+C168+L168-M168</f>
        <v>8300683</v>
      </c>
    </row>
    <row r="169" spans="1:16" ht="11.25">
      <c r="A169" s="182">
        <v>192005</v>
      </c>
      <c r="B169" s="117" t="s">
        <v>866</v>
      </c>
      <c r="C169" s="184">
        <v>127652</v>
      </c>
      <c r="D169" s="188">
        <v>0</v>
      </c>
      <c r="E169" s="190">
        <v>127652</v>
      </c>
      <c r="F169" s="224"/>
      <c r="G169" s="224"/>
      <c r="H169" s="224"/>
      <c r="I169" s="224"/>
      <c r="J169" s="224">
        <v>0</v>
      </c>
      <c r="K169" s="224">
        <v>0</v>
      </c>
      <c r="L169" s="223">
        <v>0</v>
      </c>
      <c r="M169" s="223">
        <v>0</v>
      </c>
      <c r="N169" s="221">
        <f t="shared" si="41"/>
        <v>0</v>
      </c>
      <c r="O169" s="221">
        <f t="shared" si="41"/>
        <v>0</v>
      </c>
      <c r="P169" s="239">
        <f>+C169+L169-M169</f>
        <v>127652</v>
      </c>
    </row>
    <row r="170" spans="1:16" ht="11.25">
      <c r="A170" s="182">
        <v>192099</v>
      </c>
      <c r="B170" s="117" t="s">
        <v>3528</v>
      </c>
      <c r="C170" s="184">
        <v>0</v>
      </c>
      <c r="D170" s="188">
        <v>0</v>
      </c>
      <c r="E170" s="190">
        <v>0</v>
      </c>
      <c r="F170" s="224"/>
      <c r="G170" s="224"/>
      <c r="H170" s="224"/>
      <c r="I170" s="224"/>
      <c r="J170" s="224"/>
      <c r="K170" s="224"/>
      <c r="L170" s="223">
        <v>0</v>
      </c>
      <c r="M170" s="223">
        <v>0</v>
      </c>
      <c r="N170" s="221">
        <f t="shared" si="41"/>
        <v>0</v>
      </c>
      <c r="O170" s="221">
        <f t="shared" si="41"/>
        <v>0</v>
      </c>
      <c r="P170" s="238">
        <f>+C170+L170-M170</f>
        <v>0</v>
      </c>
    </row>
    <row r="171" spans="1:16" ht="11.25">
      <c r="A171" s="178">
        <v>192500</v>
      </c>
      <c r="B171" s="189" t="s">
        <v>867</v>
      </c>
      <c r="C171" s="220">
        <f aca="true" t="shared" si="49" ref="C171:M171">SUM(C172:C175)</f>
        <v>-10006</v>
      </c>
      <c r="D171" s="220">
        <f t="shared" si="49"/>
        <v>0</v>
      </c>
      <c r="E171" s="220">
        <f t="shared" si="49"/>
        <v>-10006</v>
      </c>
      <c r="F171" s="220">
        <f t="shared" si="49"/>
        <v>0</v>
      </c>
      <c r="G171" s="220">
        <f t="shared" si="49"/>
        <v>0</v>
      </c>
      <c r="H171" s="220">
        <f t="shared" si="49"/>
        <v>0</v>
      </c>
      <c r="I171" s="220">
        <f t="shared" si="49"/>
        <v>0</v>
      </c>
      <c r="J171" s="220">
        <f t="shared" si="49"/>
        <v>0</v>
      </c>
      <c r="K171" s="220">
        <f t="shared" si="49"/>
        <v>0</v>
      </c>
      <c r="L171" s="220">
        <f t="shared" si="49"/>
        <v>0</v>
      </c>
      <c r="M171" s="220">
        <f t="shared" si="49"/>
        <v>0</v>
      </c>
      <c r="N171" s="221">
        <f t="shared" si="41"/>
        <v>0</v>
      </c>
      <c r="O171" s="221">
        <f t="shared" si="41"/>
        <v>0</v>
      </c>
      <c r="P171" s="238">
        <f>SUM(P172:P175)</f>
        <v>-10006</v>
      </c>
    </row>
    <row r="172" spans="1:16" ht="11.25">
      <c r="A172" s="182">
        <v>192505</v>
      </c>
      <c r="B172" s="117" t="s">
        <v>866</v>
      </c>
      <c r="C172" s="184">
        <v>-10006</v>
      </c>
      <c r="D172" s="188">
        <v>0</v>
      </c>
      <c r="E172" s="190">
        <v>-10006</v>
      </c>
      <c r="F172" s="224"/>
      <c r="G172" s="224"/>
      <c r="H172" s="224"/>
      <c r="I172" s="224"/>
      <c r="J172" s="224"/>
      <c r="K172" s="224"/>
      <c r="L172" s="223">
        <v>0</v>
      </c>
      <c r="M172" s="223">
        <v>0</v>
      </c>
      <c r="N172" s="221">
        <f t="shared" si="41"/>
        <v>0</v>
      </c>
      <c r="O172" s="221">
        <f t="shared" si="41"/>
        <v>0</v>
      </c>
      <c r="P172" s="239">
        <f>+C172+L172-M172</f>
        <v>-10006</v>
      </c>
    </row>
    <row r="173" spans="1:16" ht="11.25">
      <c r="A173" s="182">
        <v>192599</v>
      </c>
      <c r="B173" s="117" t="s">
        <v>868</v>
      </c>
      <c r="C173" s="184">
        <v>0</v>
      </c>
      <c r="D173" s="188">
        <v>0</v>
      </c>
      <c r="E173" s="190">
        <v>0</v>
      </c>
      <c r="F173" s="224"/>
      <c r="G173" s="224"/>
      <c r="H173" s="224"/>
      <c r="I173" s="224"/>
      <c r="J173" s="224"/>
      <c r="K173" s="224"/>
      <c r="L173" s="223">
        <v>0</v>
      </c>
      <c r="M173" s="223">
        <v>0</v>
      </c>
      <c r="N173" s="221">
        <f t="shared" si="41"/>
        <v>0</v>
      </c>
      <c r="O173" s="221">
        <f t="shared" si="41"/>
        <v>0</v>
      </c>
      <c r="P173" s="238">
        <f>+C173+L173-M173</f>
        <v>0</v>
      </c>
    </row>
    <row r="174" spans="1:16" ht="11.25">
      <c r="A174" s="178">
        <v>1941</v>
      </c>
      <c r="B174" s="116"/>
      <c r="C174" s="226"/>
      <c r="D174" s="191"/>
      <c r="E174" s="227"/>
      <c r="F174" s="224"/>
      <c r="G174" s="224"/>
      <c r="H174" s="224"/>
      <c r="I174" s="224"/>
      <c r="J174" s="224"/>
      <c r="K174" s="224"/>
      <c r="L174" s="223">
        <v>0</v>
      </c>
      <c r="M174" s="223">
        <v>0</v>
      </c>
      <c r="N174" s="221">
        <f t="shared" si="41"/>
        <v>0</v>
      </c>
      <c r="O174" s="221">
        <f t="shared" si="41"/>
        <v>0</v>
      </c>
      <c r="P174" s="238">
        <f>+C174+L174-M174</f>
        <v>0</v>
      </c>
    </row>
    <row r="175" spans="1:16" ht="11.25">
      <c r="A175" s="182">
        <v>194104</v>
      </c>
      <c r="B175" s="117" t="s">
        <v>869</v>
      </c>
      <c r="C175" s="184">
        <v>0</v>
      </c>
      <c r="D175" s="188">
        <v>0</v>
      </c>
      <c r="E175" s="190">
        <v>0</v>
      </c>
      <c r="F175" s="224"/>
      <c r="G175" s="224"/>
      <c r="H175" s="224"/>
      <c r="I175" s="224"/>
      <c r="J175" s="224"/>
      <c r="K175" s="224"/>
      <c r="L175" s="223">
        <v>0</v>
      </c>
      <c r="M175" s="223">
        <v>0</v>
      </c>
      <c r="N175" s="221">
        <f t="shared" si="41"/>
        <v>0</v>
      </c>
      <c r="O175" s="221">
        <f t="shared" si="41"/>
        <v>0</v>
      </c>
      <c r="P175" s="238">
        <f>+C175+L175-M175</f>
        <v>0</v>
      </c>
    </row>
    <row r="176" spans="1:16" ht="11.25">
      <c r="A176" s="178">
        <v>195000</v>
      </c>
      <c r="B176" s="90" t="s">
        <v>870</v>
      </c>
      <c r="C176" s="220">
        <f aca="true" t="shared" si="50" ref="C176:M176">SUM(C177:C179)</f>
        <v>36026</v>
      </c>
      <c r="D176" s="220">
        <f t="shared" si="50"/>
        <v>0</v>
      </c>
      <c r="E176" s="220">
        <f t="shared" si="50"/>
        <v>36026</v>
      </c>
      <c r="F176" s="220">
        <f t="shared" si="50"/>
        <v>0</v>
      </c>
      <c r="G176" s="220">
        <f t="shared" si="50"/>
        <v>0</v>
      </c>
      <c r="H176" s="220">
        <f t="shared" si="50"/>
        <v>0</v>
      </c>
      <c r="I176" s="220">
        <f t="shared" si="50"/>
        <v>0</v>
      </c>
      <c r="J176" s="220">
        <f t="shared" si="50"/>
        <v>0</v>
      </c>
      <c r="K176" s="220">
        <f t="shared" si="50"/>
        <v>0</v>
      </c>
      <c r="L176" s="220">
        <f t="shared" si="50"/>
        <v>0</v>
      </c>
      <c r="M176" s="220">
        <f t="shared" si="50"/>
        <v>0</v>
      </c>
      <c r="N176" s="221">
        <f t="shared" si="41"/>
        <v>0</v>
      </c>
      <c r="O176" s="221">
        <f t="shared" si="41"/>
        <v>0</v>
      </c>
      <c r="P176" s="238">
        <f>SUM(P177:P179)</f>
        <v>36026</v>
      </c>
    </row>
    <row r="177" spans="1:16" ht="11.25">
      <c r="A177" s="182">
        <v>195002</v>
      </c>
      <c r="B177" s="93" t="s">
        <v>871</v>
      </c>
      <c r="C177" s="184">
        <v>36026</v>
      </c>
      <c r="D177" s="190">
        <v>0</v>
      </c>
      <c r="E177" s="190">
        <v>36026</v>
      </c>
      <c r="F177" s="224"/>
      <c r="G177" s="224"/>
      <c r="H177" s="224"/>
      <c r="I177" s="224"/>
      <c r="J177" s="224">
        <v>0</v>
      </c>
      <c r="K177" s="224">
        <v>0</v>
      </c>
      <c r="L177" s="223">
        <v>0</v>
      </c>
      <c r="M177" s="223">
        <v>0</v>
      </c>
      <c r="N177" s="221">
        <f t="shared" si="41"/>
        <v>0</v>
      </c>
      <c r="O177" s="221">
        <f t="shared" si="41"/>
        <v>0</v>
      </c>
      <c r="P177" s="239">
        <f>+C177+L177-M177</f>
        <v>36026</v>
      </c>
    </row>
    <row r="178" spans="1:16" ht="11.25">
      <c r="A178" s="182">
        <v>195003</v>
      </c>
      <c r="B178" s="93" t="s">
        <v>872</v>
      </c>
      <c r="C178" s="184">
        <v>0</v>
      </c>
      <c r="D178" s="188">
        <v>0</v>
      </c>
      <c r="E178" s="190">
        <v>0</v>
      </c>
      <c r="F178" s="224"/>
      <c r="G178" s="224"/>
      <c r="H178" s="224"/>
      <c r="I178" s="224"/>
      <c r="J178" s="224"/>
      <c r="K178" s="224"/>
      <c r="L178" s="223">
        <v>0</v>
      </c>
      <c r="M178" s="223">
        <v>0</v>
      </c>
      <c r="N178" s="221">
        <f t="shared" si="41"/>
        <v>0</v>
      </c>
      <c r="O178" s="221">
        <f t="shared" si="41"/>
        <v>0</v>
      </c>
      <c r="P178" s="238">
        <f>+C178+L178-M178</f>
        <v>0</v>
      </c>
    </row>
    <row r="179" spans="1:16" ht="22.5">
      <c r="A179" s="182">
        <v>195004</v>
      </c>
      <c r="B179" s="93" t="s">
        <v>873</v>
      </c>
      <c r="C179" s="184">
        <v>0</v>
      </c>
      <c r="D179" s="188">
        <v>0</v>
      </c>
      <c r="E179" s="190">
        <v>0</v>
      </c>
      <c r="F179" s="224"/>
      <c r="G179" s="224"/>
      <c r="H179" s="224"/>
      <c r="I179" s="224"/>
      <c r="J179" s="224"/>
      <c r="K179" s="224"/>
      <c r="L179" s="223">
        <v>0</v>
      </c>
      <c r="M179" s="223">
        <v>0</v>
      </c>
      <c r="N179" s="221">
        <f t="shared" si="41"/>
        <v>0</v>
      </c>
      <c r="O179" s="221">
        <f t="shared" si="41"/>
        <v>0</v>
      </c>
      <c r="P179" s="238">
        <f>+C179+L179-M179</f>
        <v>0</v>
      </c>
    </row>
    <row r="180" spans="1:16" ht="11.25">
      <c r="A180" s="178">
        <v>195500</v>
      </c>
      <c r="B180" s="90" t="s">
        <v>874</v>
      </c>
      <c r="C180" s="220">
        <f aca="true" t="shared" si="51" ref="C180:M180">SUM(C181:C183)</f>
        <v>-36026</v>
      </c>
      <c r="D180" s="220">
        <f t="shared" si="51"/>
        <v>0</v>
      </c>
      <c r="E180" s="220">
        <f t="shared" si="51"/>
        <v>-36026</v>
      </c>
      <c r="F180" s="220">
        <f t="shared" si="51"/>
        <v>0</v>
      </c>
      <c r="G180" s="220">
        <f t="shared" si="51"/>
        <v>0</v>
      </c>
      <c r="H180" s="220">
        <f t="shared" si="51"/>
        <v>0</v>
      </c>
      <c r="I180" s="220">
        <f t="shared" si="51"/>
        <v>0</v>
      </c>
      <c r="J180" s="220">
        <f t="shared" si="51"/>
        <v>0</v>
      </c>
      <c r="K180" s="220">
        <f t="shared" si="51"/>
        <v>0</v>
      </c>
      <c r="L180" s="220">
        <f t="shared" si="51"/>
        <v>0</v>
      </c>
      <c r="M180" s="220">
        <f t="shared" si="51"/>
        <v>0</v>
      </c>
      <c r="N180" s="221">
        <f t="shared" si="41"/>
        <v>0</v>
      </c>
      <c r="O180" s="221">
        <f t="shared" si="41"/>
        <v>0</v>
      </c>
      <c r="P180" s="238">
        <f>SUM(P181:P183)</f>
        <v>-36026</v>
      </c>
    </row>
    <row r="181" spans="1:16" ht="11.25">
      <c r="A181" s="182">
        <v>195502</v>
      </c>
      <c r="B181" s="93" t="s">
        <v>871</v>
      </c>
      <c r="C181" s="184">
        <v>-36026</v>
      </c>
      <c r="D181" s="190">
        <v>0</v>
      </c>
      <c r="E181" s="190">
        <v>-36026</v>
      </c>
      <c r="F181" s="224"/>
      <c r="G181" s="224"/>
      <c r="H181" s="224"/>
      <c r="I181" s="224"/>
      <c r="J181" s="224"/>
      <c r="K181" s="224"/>
      <c r="L181" s="223">
        <v>0</v>
      </c>
      <c r="M181" s="223">
        <v>0</v>
      </c>
      <c r="N181" s="221">
        <f t="shared" si="41"/>
        <v>0</v>
      </c>
      <c r="O181" s="221">
        <f t="shared" si="41"/>
        <v>0</v>
      </c>
      <c r="P181" s="239">
        <f>+C181+L181-M181</f>
        <v>-36026</v>
      </c>
    </row>
    <row r="182" spans="1:16" ht="11.25">
      <c r="A182" s="182">
        <v>195503</v>
      </c>
      <c r="B182" s="93" t="s">
        <v>875</v>
      </c>
      <c r="C182" s="184">
        <v>0</v>
      </c>
      <c r="D182" s="190">
        <v>0</v>
      </c>
      <c r="E182" s="190">
        <v>0</v>
      </c>
      <c r="F182" s="224"/>
      <c r="G182" s="224"/>
      <c r="H182" s="224"/>
      <c r="I182" s="224"/>
      <c r="J182" s="224"/>
      <c r="K182" s="224"/>
      <c r="L182" s="223">
        <v>0</v>
      </c>
      <c r="M182" s="223">
        <v>0</v>
      </c>
      <c r="N182" s="221">
        <f t="shared" si="41"/>
        <v>0</v>
      </c>
      <c r="O182" s="221">
        <f t="shared" si="41"/>
        <v>0</v>
      </c>
      <c r="P182" s="238">
        <f>+C182+L182-M182</f>
        <v>0</v>
      </c>
    </row>
    <row r="183" spans="1:16" ht="22.5">
      <c r="A183" s="182">
        <v>195504</v>
      </c>
      <c r="B183" s="93" t="s">
        <v>873</v>
      </c>
      <c r="C183" s="184">
        <v>0</v>
      </c>
      <c r="D183" s="190">
        <v>0</v>
      </c>
      <c r="E183" s="190">
        <v>0</v>
      </c>
      <c r="F183" s="224"/>
      <c r="G183" s="224"/>
      <c r="H183" s="224"/>
      <c r="I183" s="224"/>
      <c r="J183" s="224"/>
      <c r="K183" s="224"/>
      <c r="L183" s="223">
        <v>0</v>
      </c>
      <c r="M183" s="223">
        <v>0</v>
      </c>
      <c r="N183" s="221">
        <f t="shared" si="41"/>
        <v>0</v>
      </c>
      <c r="O183" s="221">
        <f t="shared" si="41"/>
        <v>0</v>
      </c>
      <c r="P183" s="238">
        <f>+C183+L183-M183</f>
        <v>0</v>
      </c>
    </row>
    <row r="184" spans="1:16" ht="11.25">
      <c r="A184" s="178">
        <v>196000</v>
      </c>
      <c r="B184" s="90" t="s">
        <v>876</v>
      </c>
      <c r="C184" s="220">
        <f aca="true" t="shared" si="52" ref="C184:M184">SUM(C185:C186)</f>
        <v>0</v>
      </c>
      <c r="D184" s="220">
        <f t="shared" si="52"/>
        <v>0</v>
      </c>
      <c r="E184" s="220">
        <f t="shared" si="52"/>
        <v>0</v>
      </c>
      <c r="F184" s="220">
        <f t="shared" si="52"/>
        <v>0</v>
      </c>
      <c r="G184" s="220">
        <f t="shared" si="52"/>
        <v>0</v>
      </c>
      <c r="H184" s="220">
        <f t="shared" si="52"/>
        <v>0</v>
      </c>
      <c r="I184" s="220">
        <f t="shared" si="52"/>
        <v>0</v>
      </c>
      <c r="J184" s="220">
        <f t="shared" si="52"/>
        <v>0</v>
      </c>
      <c r="K184" s="220">
        <f t="shared" si="52"/>
        <v>0</v>
      </c>
      <c r="L184" s="220">
        <f t="shared" si="52"/>
        <v>0</v>
      </c>
      <c r="M184" s="220">
        <f t="shared" si="52"/>
        <v>0</v>
      </c>
      <c r="N184" s="221">
        <f t="shared" si="41"/>
        <v>0</v>
      </c>
      <c r="O184" s="221">
        <f t="shared" si="41"/>
        <v>0</v>
      </c>
      <c r="P184" s="238">
        <f>SUM(P185:P186)</f>
        <v>0</v>
      </c>
    </row>
    <row r="185" spans="1:16" ht="11.25">
      <c r="A185" s="182">
        <v>196007</v>
      </c>
      <c r="B185" s="93" t="s">
        <v>877</v>
      </c>
      <c r="C185" s="184">
        <v>0</v>
      </c>
      <c r="D185" s="188">
        <v>0</v>
      </c>
      <c r="E185" s="190">
        <v>0</v>
      </c>
      <c r="F185" s="224"/>
      <c r="G185" s="224"/>
      <c r="H185" s="224"/>
      <c r="I185" s="224"/>
      <c r="J185" s="224"/>
      <c r="K185" s="224"/>
      <c r="L185" s="223">
        <v>0</v>
      </c>
      <c r="M185" s="223">
        <v>0</v>
      </c>
      <c r="N185" s="221">
        <f t="shared" si="41"/>
        <v>0</v>
      </c>
      <c r="O185" s="221">
        <f t="shared" si="41"/>
        <v>0</v>
      </c>
      <c r="P185" s="238">
        <f>+C185+L185-M185</f>
        <v>0</v>
      </c>
    </row>
    <row r="186" spans="1:16" ht="11.25">
      <c r="A186" s="182">
        <v>196099</v>
      </c>
      <c r="B186" s="93" t="s">
        <v>878</v>
      </c>
      <c r="C186" s="184">
        <v>0</v>
      </c>
      <c r="D186" s="188">
        <v>0</v>
      </c>
      <c r="E186" s="190">
        <v>0</v>
      </c>
      <c r="F186" s="224"/>
      <c r="G186" s="224"/>
      <c r="H186" s="224"/>
      <c r="I186" s="224"/>
      <c r="J186" s="224"/>
      <c r="K186" s="224"/>
      <c r="L186" s="223">
        <v>0</v>
      </c>
      <c r="M186" s="223">
        <v>0</v>
      </c>
      <c r="N186" s="221">
        <f t="shared" si="41"/>
        <v>0</v>
      </c>
      <c r="O186" s="221">
        <f t="shared" si="41"/>
        <v>0</v>
      </c>
      <c r="P186" s="238">
        <f>+C186+L186-M186</f>
        <v>0</v>
      </c>
    </row>
    <row r="187" spans="1:16" ht="11.25">
      <c r="A187" s="178">
        <v>196500</v>
      </c>
      <c r="B187" s="90" t="s">
        <v>879</v>
      </c>
      <c r="C187" s="220">
        <v>0</v>
      </c>
      <c r="D187" s="220">
        <v>0</v>
      </c>
      <c r="E187" s="220">
        <v>0</v>
      </c>
      <c r="F187" s="220">
        <v>0</v>
      </c>
      <c r="G187" s="220">
        <v>0</v>
      </c>
      <c r="H187" s="220">
        <v>0</v>
      </c>
      <c r="I187" s="220">
        <v>0</v>
      </c>
      <c r="J187" s="220">
        <v>0</v>
      </c>
      <c r="K187" s="220">
        <v>0</v>
      </c>
      <c r="L187" s="220">
        <v>0</v>
      </c>
      <c r="M187" s="220">
        <v>0</v>
      </c>
      <c r="N187" s="221">
        <f t="shared" si="41"/>
        <v>0</v>
      </c>
      <c r="O187" s="221">
        <f t="shared" si="41"/>
        <v>0</v>
      </c>
      <c r="P187" s="238">
        <v>0</v>
      </c>
    </row>
    <row r="188" spans="1:16" ht="11.25">
      <c r="A188" s="182">
        <v>196507</v>
      </c>
      <c r="B188" s="93" t="s">
        <v>877</v>
      </c>
      <c r="C188" s="184">
        <v>0</v>
      </c>
      <c r="D188" s="188">
        <v>0</v>
      </c>
      <c r="E188" s="190">
        <v>0</v>
      </c>
      <c r="F188" s="224"/>
      <c r="G188" s="224"/>
      <c r="H188" s="224"/>
      <c r="I188" s="224"/>
      <c r="J188" s="224"/>
      <c r="K188" s="224"/>
      <c r="L188" s="223">
        <v>0</v>
      </c>
      <c r="M188" s="223">
        <v>0</v>
      </c>
      <c r="N188" s="221">
        <f t="shared" si="41"/>
        <v>0</v>
      </c>
      <c r="O188" s="221">
        <f t="shared" si="41"/>
        <v>0</v>
      </c>
      <c r="P188" s="238">
        <f>+C188+L188-M188</f>
        <v>0</v>
      </c>
    </row>
    <row r="189" spans="1:16" ht="11.25">
      <c r="A189" s="178">
        <v>197000</v>
      </c>
      <c r="B189" s="90" t="s">
        <v>880</v>
      </c>
      <c r="C189" s="220">
        <f aca="true" t="shared" si="53" ref="C189:M189">SUM(C190:C192)</f>
        <v>8059269</v>
      </c>
      <c r="D189" s="220">
        <f t="shared" si="53"/>
        <v>0</v>
      </c>
      <c r="E189" s="220">
        <f t="shared" si="53"/>
        <v>-19576387</v>
      </c>
      <c r="F189" s="220">
        <f t="shared" si="53"/>
        <v>0</v>
      </c>
      <c r="G189" s="220">
        <f t="shared" si="53"/>
        <v>0</v>
      </c>
      <c r="H189" s="220">
        <f t="shared" si="53"/>
        <v>0</v>
      </c>
      <c r="I189" s="220">
        <f t="shared" si="53"/>
        <v>0</v>
      </c>
      <c r="J189" s="220">
        <f t="shared" si="53"/>
        <v>0</v>
      </c>
      <c r="K189" s="220">
        <f t="shared" si="53"/>
        <v>0</v>
      </c>
      <c r="L189" s="220">
        <f t="shared" si="53"/>
        <v>0</v>
      </c>
      <c r="M189" s="220">
        <f t="shared" si="53"/>
        <v>0</v>
      </c>
      <c r="N189" s="221">
        <f t="shared" si="41"/>
        <v>0</v>
      </c>
      <c r="O189" s="221">
        <f t="shared" si="41"/>
        <v>0</v>
      </c>
      <c r="P189" s="238">
        <f>SUM(P190:P192)</f>
        <v>8059269</v>
      </c>
    </row>
    <row r="190" spans="1:16" ht="11.25">
      <c r="A190" s="182">
        <v>197007</v>
      </c>
      <c r="B190" s="93" t="s">
        <v>881</v>
      </c>
      <c r="C190" s="184">
        <v>0</v>
      </c>
      <c r="D190" s="188">
        <v>0</v>
      </c>
      <c r="E190" s="190">
        <v>0</v>
      </c>
      <c r="F190" s="224"/>
      <c r="G190" s="224"/>
      <c r="H190" s="224"/>
      <c r="I190" s="224"/>
      <c r="J190" s="224"/>
      <c r="K190" s="224"/>
      <c r="L190" s="223">
        <v>0</v>
      </c>
      <c r="M190" s="223">
        <v>0</v>
      </c>
      <c r="N190" s="221">
        <f t="shared" si="41"/>
        <v>0</v>
      </c>
      <c r="O190" s="221">
        <f t="shared" si="41"/>
        <v>0</v>
      </c>
      <c r="P190" s="238">
        <f>+C190+L190-M190</f>
        <v>0</v>
      </c>
    </row>
    <row r="191" spans="1:16" ht="11.25">
      <c r="A191" s="182">
        <v>197008</v>
      </c>
      <c r="B191" s="93" t="s">
        <v>882</v>
      </c>
      <c r="C191" s="184">
        <v>8059269</v>
      </c>
      <c r="D191" s="188">
        <v>0</v>
      </c>
      <c r="E191" s="190">
        <v>-19576387</v>
      </c>
      <c r="F191" s="224"/>
      <c r="G191" s="224"/>
      <c r="H191" s="224"/>
      <c r="I191" s="224"/>
      <c r="J191" s="224">
        <v>0</v>
      </c>
      <c r="K191" s="224">
        <v>0</v>
      </c>
      <c r="L191" s="223">
        <v>0</v>
      </c>
      <c r="M191" s="223">
        <v>0</v>
      </c>
      <c r="N191" s="221">
        <f t="shared" si="41"/>
        <v>0</v>
      </c>
      <c r="O191" s="221">
        <f t="shared" si="41"/>
        <v>0</v>
      </c>
      <c r="P191" s="239">
        <f>+C191+L191-M191</f>
        <v>8059269</v>
      </c>
    </row>
    <row r="192" spans="1:16" ht="11.25">
      <c r="A192" s="182">
        <v>197099</v>
      </c>
      <c r="B192" s="93" t="s">
        <v>3528</v>
      </c>
      <c r="C192" s="184">
        <v>0</v>
      </c>
      <c r="D192" s="188">
        <v>0</v>
      </c>
      <c r="E192" s="190">
        <v>0</v>
      </c>
      <c r="F192" s="224"/>
      <c r="G192" s="224"/>
      <c r="H192" s="224"/>
      <c r="I192" s="224"/>
      <c r="J192" s="224"/>
      <c r="K192" s="224"/>
      <c r="L192" s="223">
        <v>0</v>
      </c>
      <c r="M192" s="223">
        <v>0</v>
      </c>
      <c r="N192" s="221">
        <f t="shared" si="41"/>
        <v>0</v>
      </c>
      <c r="O192" s="221">
        <f t="shared" si="41"/>
        <v>0</v>
      </c>
      <c r="P192" s="238">
        <f>+C192+L192-M192</f>
        <v>0</v>
      </c>
    </row>
    <row r="193" spans="1:16" ht="11.25">
      <c r="A193" s="178">
        <v>197500</v>
      </c>
      <c r="B193" s="90" t="s">
        <v>883</v>
      </c>
      <c r="C193" s="220">
        <f aca="true" t="shared" si="54" ref="C193:M193">SUM(C194:C196)</f>
        <v>-7652499</v>
      </c>
      <c r="D193" s="220">
        <f t="shared" si="54"/>
        <v>0</v>
      </c>
      <c r="E193" s="220">
        <f t="shared" si="54"/>
        <v>-95966872.28</v>
      </c>
      <c r="F193" s="220">
        <f t="shared" si="54"/>
        <v>0</v>
      </c>
      <c r="G193" s="220">
        <f t="shared" si="54"/>
        <v>29392219.63</v>
      </c>
      <c r="H193" s="220">
        <f t="shared" si="54"/>
        <v>0</v>
      </c>
      <c r="I193" s="220">
        <f t="shared" si="54"/>
        <v>29392219.63</v>
      </c>
      <c r="J193" s="220">
        <f t="shared" si="54"/>
        <v>590953.96</v>
      </c>
      <c r="K193" s="220">
        <f t="shared" si="54"/>
        <v>29392219.63</v>
      </c>
      <c r="L193" s="220">
        <f t="shared" si="54"/>
        <v>591</v>
      </c>
      <c r="M193" s="220">
        <f t="shared" si="54"/>
        <v>88177</v>
      </c>
      <c r="N193" s="221">
        <f t="shared" si="41"/>
        <v>590953.96</v>
      </c>
      <c r="O193" s="221">
        <f t="shared" si="41"/>
        <v>88176658.89</v>
      </c>
      <c r="P193" s="238">
        <f>SUM(P194:P196)</f>
        <v>-7740085</v>
      </c>
    </row>
    <row r="194" spans="1:16" ht="11.25">
      <c r="A194" s="182">
        <v>197507</v>
      </c>
      <c r="B194" s="93" t="s">
        <v>881</v>
      </c>
      <c r="C194" s="184">
        <v>0</v>
      </c>
      <c r="D194" s="188">
        <v>0</v>
      </c>
      <c r="E194" s="190">
        <v>0</v>
      </c>
      <c r="F194" s="224"/>
      <c r="G194" s="224"/>
      <c r="H194" s="224"/>
      <c r="I194" s="224"/>
      <c r="J194" s="224"/>
      <c r="K194" s="224"/>
      <c r="L194" s="223">
        <v>0</v>
      </c>
      <c r="M194" s="223">
        <v>0</v>
      </c>
      <c r="N194" s="221">
        <f t="shared" si="41"/>
        <v>0</v>
      </c>
      <c r="O194" s="221">
        <f t="shared" si="41"/>
        <v>0</v>
      </c>
      <c r="P194" s="238">
        <f>+C194+L194-M194</f>
        <v>0</v>
      </c>
    </row>
    <row r="195" spans="1:16" ht="11.25">
      <c r="A195" s="182">
        <v>197508</v>
      </c>
      <c r="B195" s="93" t="s">
        <v>882</v>
      </c>
      <c r="C195" s="184">
        <v>-7652499</v>
      </c>
      <c r="D195" s="188">
        <v>0</v>
      </c>
      <c r="E195" s="190">
        <v>-66490230.65</v>
      </c>
      <c r="F195" s="224">
        <v>0</v>
      </c>
      <c r="G195" s="224">
        <v>29392219.63</v>
      </c>
      <c r="H195" s="224">
        <v>0</v>
      </c>
      <c r="I195" s="224">
        <v>29392219.63</v>
      </c>
      <c r="J195" s="224">
        <v>590953.96</v>
      </c>
      <c r="K195" s="224">
        <v>29392219.63</v>
      </c>
      <c r="L195" s="223">
        <v>591</v>
      </c>
      <c r="M195" s="223">
        <v>88177</v>
      </c>
      <c r="N195" s="221">
        <f t="shared" si="41"/>
        <v>590953.96</v>
      </c>
      <c r="O195" s="221">
        <f t="shared" si="41"/>
        <v>88176658.89</v>
      </c>
      <c r="P195" s="239">
        <f>+C195+L195-M195</f>
        <v>-7740085</v>
      </c>
    </row>
    <row r="196" spans="1:16" ht="11.25">
      <c r="A196" s="182">
        <v>197599</v>
      </c>
      <c r="B196" s="93" t="s">
        <v>3528</v>
      </c>
      <c r="C196" s="184">
        <v>0</v>
      </c>
      <c r="D196" s="188">
        <v>0</v>
      </c>
      <c r="E196" s="190">
        <v>-29476641.630000003</v>
      </c>
      <c r="F196" s="224"/>
      <c r="G196" s="224"/>
      <c r="H196" s="224"/>
      <c r="I196" s="224"/>
      <c r="J196" s="224"/>
      <c r="K196" s="224"/>
      <c r="L196" s="223">
        <v>0</v>
      </c>
      <c r="M196" s="223">
        <v>0</v>
      </c>
      <c r="N196" s="221">
        <f t="shared" si="41"/>
        <v>0</v>
      </c>
      <c r="O196" s="221">
        <f t="shared" si="41"/>
        <v>0</v>
      </c>
      <c r="P196" s="238">
        <f>+C196+L196-M196</f>
        <v>0</v>
      </c>
    </row>
    <row r="197" spans="1:16" ht="11.25">
      <c r="A197" s="178">
        <v>199500</v>
      </c>
      <c r="B197" s="90" t="s">
        <v>884</v>
      </c>
      <c r="C197" s="220">
        <f aca="true" t="shared" si="55" ref="C197:M197">SUM(C198:C206)</f>
        <v>-86507</v>
      </c>
      <c r="D197" s="220">
        <f t="shared" si="55"/>
        <v>0</v>
      </c>
      <c r="E197" s="220">
        <f t="shared" si="55"/>
        <v>-5071606</v>
      </c>
      <c r="F197" s="220">
        <f t="shared" si="55"/>
        <v>49832841608</v>
      </c>
      <c r="G197" s="220">
        <f t="shared" si="55"/>
        <v>2458090974</v>
      </c>
      <c r="H197" s="220">
        <f t="shared" si="55"/>
        <v>48337564144</v>
      </c>
      <c r="I197" s="220">
        <f t="shared" si="55"/>
        <v>47391461594</v>
      </c>
      <c r="J197" s="220">
        <f t="shared" si="55"/>
        <v>117684148758.79</v>
      </c>
      <c r="K197" s="220">
        <f t="shared" si="55"/>
        <v>165918495255.29</v>
      </c>
      <c r="L197" s="220">
        <f t="shared" si="55"/>
        <v>215854556</v>
      </c>
      <c r="M197" s="220">
        <f t="shared" si="55"/>
        <v>215768048</v>
      </c>
      <c r="N197" s="221">
        <f t="shared" si="41"/>
        <v>215854554510.78998</v>
      </c>
      <c r="O197" s="221">
        <f t="shared" si="41"/>
        <v>215768047823.29</v>
      </c>
      <c r="P197" s="238">
        <f>SUM(P198:P206)</f>
        <v>1</v>
      </c>
    </row>
    <row r="198" spans="1:16" ht="11.25">
      <c r="A198" s="182">
        <v>199501</v>
      </c>
      <c r="B198" s="93" t="s">
        <v>885</v>
      </c>
      <c r="C198" s="184">
        <v>52346</v>
      </c>
      <c r="D198" s="188">
        <v>0</v>
      </c>
      <c r="E198" s="190">
        <v>43595688</v>
      </c>
      <c r="F198" s="224">
        <v>49806671608</v>
      </c>
      <c r="G198" s="224">
        <v>26170000</v>
      </c>
      <c r="H198" s="224">
        <v>48337564144</v>
      </c>
      <c r="I198" s="224">
        <v>47374750634</v>
      </c>
      <c r="J198" s="224">
        <v>109111872852.29</v>
      </c>
      <c r="K198" s="224">
        <v>159907533748.29</v>
      </c>
      <c r="L198" s="223">
        <v>207256109</v>
      </c>
      <c r="M198" s="223">
        <v>207308454</v>
      </c>
      <c r="N198" s="221">
        <f t="shared" si="41"/>
        <v>207256108604.28998</v>
      </c>
      <c r="O198" s="221">
        <f t="shared" si="41"/>
        <v>207308454382.29</v>
      </c>
      <c r="P198" s="240">
        <f aca="true" t="shared" si="56" ref="P198:P206">+C198+L198-M198</f>
        <v>1</v>
      </c>
    </row>
    <row r="199" spans="1:16" ht="11.25">
      <c r="A199" s="182">
        <v>199503</v>
      </c>
      <c r="B199" s="93" t="s">
        <v>886</v>
      </c>
      <c r="C199" s="184">
        <v>0</v>
      </c>
      <c r="D199" s="188">
        <v>0</v>
      </c>
      <c r="E199" s="190">
        <v>0</v>
      </c>
      <c r="F199" s="224"/>
      <c r="G199" s="224"/>
      <c r="H199" s="224"/>
      <c r="I199" s="224"/>
      <c r="J199" s="224"/>
      <c r="K199" s="224"/>
      <c r="L199" s="223">
        <v>0</v>
      </c>
      <c r="M199" s="223">
        <v>0</v>
      </c>
      <c r="N199" s="221">
        <f t="shared" si="41"/>
        <v>0</v>
      </c>
      <c r="O199" s="221">
        <f t="shared" si="41"/>
        <v>0</v>
      </c>
      <c r="P199" s="238">
        <f t="shared" si="56"/>
        <v>0</v>
      </c>
    </row>
    <row r="200" spans="1:16" ht="11.25">
      <c r="A200" s="182">
        <v>199505</v>
      </c>
      <c r="B200" s="93" t="s">
        <v>887</v>
      </c>
      <c r="C200" s="184">
        <v>0</v>
      </c>
      <c r="D200" s="188">
        <v>0</v>
      </c>
      <c r="E200" s="190">
        <v>0</v>
      </c>
      <c r="F200" s="224"/>
      <c r="G200" s="224"/>
      <c r="H200" s="224"/>
      <c r="I200" s="224"/>
      <c r="J200" s="224">
        <v>2522316929</v>
      </c>
      <c r="K200" s="224">
        <v>2522316929</v>
      </c>
      <c r="L200" s="223">
        <v>2522317</v>
      </c>
      <c r="M200" s="223">
        <v>2522317</v>
      </c>
      <c r="N200" s="221">
        <f t="shared" si="41"/>
        <v>2522316929</v>
      </c>
      <c r="O200" s="221">
        <f t="shared" si="41"/>
        <v>2522316929</v>
      </c>
      <c r="P200" s="238">
        <f t="shared" si="56"/>
        <v>0</v>
      </c>
    </row>
    <row r="201" spans="1:16" ht="11.25">
      <c r="A201" s="182">
        <v>199506</v>
      </c>
      <c r="B201" s="93" t="s">
        <v>888</v>
      </c>
      <c r="C201" s="184">
        <v>-52346</v>
      </c>
      <c r="D201" s="188">
        <v>0</v>
      </c>
      <c r="E201" s="190">
        <v>-43595688</v>
      </c>
      <c r="F201" s="224">
        <v>26170000</v>
      </c>
      <c r="G201" s="224">
        <v>2431920974</v>
      </c>
      <c r="H201" s="224"/>
      <c r="I201" s="224"/>
      <c r="J201" s="224">
        <v>3415665552</v>
      </c>
      <c r="K201" s="224">
        <v>957568800</v>
      </c>
      <c r="L201" s="223">
        <v>3441836</v>
      </c>
      <c r="M201" s="223">
        <v>3389490</v>
      </c>
      <c r="N201" s="221">
        <f t="shared" si="41"/>
        <v>3441835552</v>
      </c>
      <c r="O201" s="221">
        <f t="shared" si="41"/>
        <v>3389489774</v>
      </c>
      <c r="P201" s="238">
        <f t="shared" si="56"/>
        <v>0</v>
      </c>
    </row>
    <row r="202" spans="1:16" ht="11.25">
      <c r="A202" s="182">
        <v>199507</v>
      </c>
      <c r="B202" s="93" t="s">
        <v>889</v>
      </c>
      <c r="C202" s="184">
        <v>-86507</v>
      </c>
      <c r="D202" s="188">
        <v>0</v>
      </c>
      <c r="E202" s="190">
        <v>-5071606</v>
      </c>
      <c r="F202" s="224"/>
      <c r="G202" s="224"/>
      <c r="H202" s="224">
        <v>0</v>
      </c>
      <c r="I202" s="224">
        <v>16710960</v>
      </c>
      <c r="J202" s="224">
        <v>103217647.5</v>
      </c>
      <c r="K202" s="224">
        <v>0</v>
      </c>
      <c r="L202" s="223">
        <v>103218</v>
      </c>
      <c r="M202" s="223">
        <v>16711</v>
      </c>
      <c r="N202" s="221">
        <f t="shared" si="41"/>
        <v>103217647.5</v>
      </c>
      <c r="O202" s="221">
        <f t="shared" si="41"/>
        <v>16710960</v>
      </c>
      <c r="P202" s="238">
        <f t="shared" si="56"/>
        <v>0</v>
      </c>
    </row>
    <row r="203" spans="1:16" ht="11.25">
      <c r="A203" s="182">
        <v>199508</v>
      </c>
      <c r="B203" s="93" t="s">
        <v>890</v>
      </c>
      <c r="C203" s="184">
        <v>0</v>
      </c>
      <c r="D203" s="188">
        <v>0</v>
      </c>
      <c r="E203" s="190">
        <v>0</v>
      </c>
      <c r="F203" s="224"/>
      <c r="G203" s="224"/>
      <c r="H203" s="224"/>
      <c r="I203" s="224"/>
      <c r="J203" s="224"/>
      <c r="K203" s="224"/>
      <c r="L203" s="223">
        <v>0</v>
      </c>
      <c r="M203" s="223">
        <v>0</v>
      </c>
      <c r="N203" s="221">
        <f aca="true" t="shared" si="57" ref="N203:O266">+F203+H203+J203</f>
        <v>0</v>
      </c>
      <c r="O203" s="221">
        <f t="shared" si="57"/>
        <v>0</v>
      </c>
      <c r="P203" s="238">
        <f t="shared" si="56"/>
        <v>0</v>
      </c>
    </row>
    <row r="204" spans="1:16" ht="11.25">
      <c r="A204" s="182">
        <v>199509</v>
      </c>
      <c r="B204" s="93" t="s">
        <v>891</v>
      </c>
      <c r="C204" s="184">
        <v>0</v>
      </c>
      <c r="D204" s="188">
        <v>0</v>
      </c>
      <c r="E204" s="190">
        <v>0</v>
      </c>
      <c r="F204" s="224"/>
      <c r="G204" s="224"/>
      <c r="H204" s="224"/>
      <c r="I204" s="224"/>
      <c r="J204" s="224">
        <v>2522316929</v>
      </c>
      <c r="K204" s="224">
        <v>2522316929</v>
      </c>
      <c r="L204" s="223">
        <v>2522317</v>
      </c>
      <c r="M204" s="223">
        <v>2522317</v>
      </c>
      <c r="N204" s="221">
        <f t="shared" si="57"/>
        <v>2522316929</v>
      </c>
      <c r="O204" s="221">
        <f t="shared" si="57"/>
        <v>2522316929</v>
      </c>
      <c r="P204" s="238">
        <f t="shared" si="56"/>
        <v>0</v>
      </c>
    </row>
    <row r="205" spans="1:16" ht="11.25">
      <c r="A205" s="182">
        <v>199510</v>
      </c>
      <c r="B205" s="93" t="s">
        <v>892</v>
      </c>
      <c r="C205" s="184">
        <v>8759</v>
      </c>
      <c r="D205" s="188">
        <v>0</v>
      </c>
      <c r="E205" s="190">
        <v>8759</v>
      </c>
      <c r="F205" s="224"/>
      <c r="G205" s="224"/>
      <c r="H205" s="224"/>
      <c r="I205" s="224"/>
      <c r="J205" s="224">
        <v>0</v>
      </c>
      <c r="K205" s="224">
        <v>8758849</v>
      </c>
      <c r="L205" s="223">
        <v>0</v>
      </c>
      <c r="M205" s="223">
        <v>8759</v>
      </c>
      <c r="N205" s="221">
        <f t="shared" si="57"/>
        <v>0</v>
      </c>
      <c r="O205" s="221">
        <f t="shared" si="57"/>
        <v>8758849</v>
      </c>
      <c r="P205" s="238">
        <f t="shared" si="56"/>
        <v>0</v>
      </c>
    </row>
    <row r="206" spans="1:16" ht="11.25">
      <c r="A206" s="182">
        <v>199511</v>
      </c>
      <c r="B206" s="93" t="s">
        <v>893</v>
      </c>
      <c r="C206" s="184">
        <v>-8759</v>
      </c>
      <c r="D206" s="188">
        <v>0</v>
      </c>
      <c r="E206" s="190">
        <v>-8759</v>
      </c>
      <c r="F206" s="224"/>
      <c r="G206" s="224"/>
      <c r="H206" s="224"/>
      <c r="I206" s="224"/>
      <c r="J206" s="224">
        <v>8758849</v>
      </c>
      <c r="K206" s="224">
        <v>0</v>
      </c>
      <c r="L206" s="223">
        <v>8759</v>
      </c>
      <c r="M206" s="223">
        <v>0</v>
      </c>
      <c r="N206" s="221">
        <f t="shared" si="57"/>
        <v>8758849</v>
      </c>
      <c r="O206" s="221">
        <f t="shared" si="57"/>
        <v>0</v>
      </c>
      <c r="P206" s="238">
        <f t="shared" si="56"/>
        <v>0</v>
      </c>
    </row>
    <row r="207" spans="1:16" ht="22.5">
      <c r="A207" s="178">
        <v>199600</v>
      </c>
      <c r="B207" s="90" t="s">
        <v>894</v>
      </c>
      <c r="C207" s="220">
        <f aca="true" t="shared" si="58" ref="C207:M207">SUM(C208:C211)</f>
        <v>0</v>
      </c>
      <c r="D207" s="220">
        <f t="shared" si="58"/>
        <v>0</v>
      </c>
      <c r="E207" s="220">
        <f t="shared" si="58"/>
        <v>-540249072.88</v>
      </c>
      <c r="F207" s="220">
        <f t="shared" si="58"/>
        <v>0</v>
      </c>
      <c r="G207" s="220">
        <f t="shared" si="58"/>
        <v>0</v>
      </c>
      <c r="H207" s="220">
        <f t="shared" si="58"/>
        <v>0</v>
      </c>
      <c r="I207" s="220">
        <f t="shared" si="58"/>
        <v>0</v>
      </c>
      <c r="J207" s="220">
        <f t="shared" si="58"/>
        <v>0</v>
      </c>
      <c r="K207" s="220">
        <f t="shared" si="58"/>
        <v>0</v>
      </c>
      <c r="L207" s="220">
        <f t="shared" si="58"/>
        <v>0</v>
      </c>
      <c r="M207" s="220">
        <f t="shared" si="58"/>
        <v>0</v>
      </c>
      <c r="N207" s="221">
        <f t="shared" si="57"/>
        <v>0</v>
      </c>
      <c r="O207" s="221">
        <f t="shared" si="57"/>
        <v>0</v>
      </c>
      <c r="P207" s="238">
        <f>SUM(P208:P211)</f>
        <v>0</v>
      </c>
    </row>
    <row r="208" spans="1:16" ht="11.25">
      <c r="A208" s="182">
        <v>199601</v>
      </c>
      <c r="B208" s="93" t="s">
        <v>895</v>
      </c>
      <c r="C208" s="184">
        <v>0</v>
      </c>
      <c r="D208" s="188">
        <v>0</v>
      </c>
      <c r="E208" s="190">
        <v>0</v>
      </c>
      <c r="F208" s="224"/>
      <c r="G208" s="224"/>
      <c r="H208" s="224"/>
      <c r="I208" s="224"/>
      <c r="J208" s="224"/>
      <c r="K208" s="224"/>
      <c r="L208" s="223">
        <v>0</v>
      </c>
      <c r="M208" s="223">
        <v>0</v>
      </c>
      <c r="N208" s="221">
        <f t="shared" si="57"/>
        <v>0</v>
      </c>
      <c r="O208" s="221">
        <f t="shared" si="57"/>
        <v>0</v>
      </c>
      <c r="P208" s="238">
        <f>+C208+L208-M208</f>
        <v>0</v>
      </c>
    </row>
    <row r="209" spans="1:16" ht="11.25">
      <c r="A209" s="182">
        <v>199603</v>
      </c>
      <c r="B209" s="93" t="s">
        <v>896</v>
      </c>
      <c r="C209" s="184">
        <v>0</v>
      </c>
      <c r="D209" s="188">
        <v>0</v>
      </c>
      <c r="E209" s="190">
        <v>-92292546.03</v>
      </c>
      <c r="F209" s="224"/>
      <c r="G209" s="224"/>
      <c r="H209" s="224"/>
      <c r="I209" s="224"/>
      <c r="J209" s="224"/>
      <c r="K209" s="224"/>
      <c r="L209" s="223">
        <v>0</v>
      </c>
      <c r="M209" s="223">
        <v>0</v>
      </c>
      <c r="N209" s="221">
        <f t="shared" si="57"/>
        <v>0</v>
      </c>
      <c r="O209" s="221">
        <f t="shared" si="57"/>
        <v>0</v>
      </c>
      <c r="P209" s="238">
        <f>+C209+L209-M209</f>
        <v>0</v>
      </c>
    </row>
    <row r="210" spans="1:16" ht="11.25">
      <c r="A210" s="182">
        <v>199604</v>
      </c>
      <c r="B210" s="93" t="s">
        <v>897</v>
      </c>
      <c r="C210" s="184">
        <v>0</v>
      </c>
      <c r="D210" s="188">
        <v>0</v>
      </c>
      <c r="E210" s="190">
        <v>-447956526.85</v>
      </c>
      <c r="F210" s="224"/>
      <c r="G210" s="224"/>
      <c r="H210" s="224"/>
      <c r="I210" s="224"/>
      <c r="J210" s="224"/>
      <c r="K210" s="224"/>
      <c r="L210" s="223">
        <v>0</v>
      </c>
      <c r="M210" s="223">
        <v>0</v>
      </c>
      <c r="N210" s="221">
        <f t="shared" si="57"/>
        <v>0</v>
      </c>
      <c r="O210" s="221">
        <f t="shared" si="57"/>
        <v>0</v>
      </c>
      <c r="P210" s="238">
        <f>+C210+L210-M210</f>
        <v>0</v>
      </c>
    </row>
    <row r="211" spans="1:16" ht="11.25">
      <c r="A211" s="182">
        <v>199690</v>
      </c>
      <c r="B211" s="93" t="s">
        <v>898</v>
      </c>
      <c r="C211" s="184">
        <v>0</v>
      </c>
      <c r="D211" s="188">
        <v>0</v>
      </c>
      <c r="E211" s="190">
        <v>0</v>
      </c>
      <c r="F211" s="224"/>
      <c r="G211" s="224"/>
      <c r="H211" s="224"/>
      <c r="I211" s="224"/>
      <c r="J211" s="224"/>
      <c r="K211" s="224"/>
      <c r="L211" s="223">
        <v>0</v>
      </c>
      <c r="M211" s="223">
        <v>0</v>
      </c>
      <c r="N211" s="221">
        <f t="shared" si="57"/>
        <v>0</v>
      </c>
      <c r="O211" s="221">
        <f t="shared" si="57"/>
        <v>0</v>
      </c>
      <c r="P211" s="238">
        <f>+C211+L211-M211</f>
        <v>0</v>
      </c>
    </row>
    <row r="212" spans="1:16" ht="22.5">
      <c r="A212" s="178">
        <v>199700</v>
      </c>
      <c r="B212" s="90" t="s">
        <v>899</v>
      </c>
      <c r="C212" s="220">
        <f aca="true" t="shared" si="59" ref="C212:M212">SUM(C213)</f>
        <v>0</v>
      </c>
      <c r="D212" s="220">
        <f t="shared" si="59"/>
        <v>0</v>
      </c>
      <c r="E212" s="220">
        <f t="shared" si="59"/>
        <v>0</v>
      </c>
      <c r="F212" s="220">
        <f t="shared" si="59"/>
        <v>0</v>
      </c>
      <c r="G212" s="220">
        <f t="shared" si="59"/>
        <v>0</v>
      </c>
      <c r="H212" s="220">
        <f t="shared" si="59"/>
        <v>0</v>
      </c>
      <c r="I212" s="220">
        <f t="shared" si="59"/>
        <v>0</v>
      </c>
      <c r="J212" s="220">
        <f t="shared" si="59"/>
        <v>0</v>
      </c>
      <c r="K212" s="220">
        <f t="shared" si="59"/>
        <v>0</v>
      </c>
      <c r="L212" s="220">
        <f t="shared" si="59"/>
        <v>0</v>
      </c>
      <c r="M212" s="220">
        <f t="shared" si="59"/>
        <v>0</v>
      </c>
      <c r="N212" s="221">
        <f t="shared" si="57"/>
        <v>0</v>
      </c>
      <c r="O212" s="221">
        <f t="shared" si="57"/>
        <v>0</v>
      </c>
      <c r="P212" s="238">
        <f>SUM(P213)</f>
        <v>0</v>
      </c>
    </row>
    <row r="213" spans="1:16" ht="11.25">
      <c r="A213" s="182">
        <v>199701</v>
      </c>
      <c r="B213" s="93" t="s">
        <v>895</v>
      </c>
      <c r="C213" s="184">
        <v>0</v>
      </c>
      <c r="D213" s="188">
        <v>0</v>
      </c>
      <c r="E213" s="190">
        <v>0</v>
      </c>
      <c r="F213" s="224"/>
      <c r="G213" s="224"/>
      <c r="H213" s="224"/>
      <c r="I213" s="224"/>
      <c r="J213" s="224"/>
      <c r="K213" s="224"/>
      <c r="L213" s="223">
        <v>0</v>
      </c>
      <c r="M213" s="223">
        <v>0</v>
      </c>
      <c r="N213" s="221">
        <f t="shared" si="57"/>
        <v>0</v>
      </c>
      <c r="O213" s="221">
        <f t="shared" si="57"/>
        <v>0</v>
      </c>
      <c r="P213" s="238">
        <f>+C213+L213-M213</f>
        <v>0</v>
      </c>
    </row>
    <row r="214" spans="1:16" ht="11.25">
      <c r="A214" s="178">
        <v>199900</v>
      </c>
      <c r="B214" s="90" t="s">
        <v>900</v>
      </c>
      <c r="C214" s="220">
        <f aca="true" t="shared" si="60" ref="C214:M214">SUM(C215:C222)</f>
        <v>3369681</v>
      </c>
      <c r="D214" s="220">
        <f t="shared" si="60"/>
        <v>0</v>
      </c>
      <c r="E214" s="220">
        <f t="shared" si="60"/>
        <v>446262</v>
      </c>
      <c r="F214" s="220">
        <f t="shared" si="60"/>
        <v>0</v>
      </c>
      <c r="G214" s="220">
        <f t="shared" si="60"/>
        <v>0</v>
      </c>
      <c r="H214" s="220">
        <f t="shared" si="60"/>
        <v>0</v>
      </c>
      <c r="I214" s="220">
        <f t="shared" si="60"/>
        <v>0</v>
      </c>
      <c r="J214" s="220">
        <f t="shared" si="60"/>
        <v>142950600</v>
      </c>
      <c r="K214" s="220">
        <f t="shared" si="60"/>
        <v>350744000</v>
      </c>
      <c r="L214" s="220">
        <f t="shared" si="60"/>
        <v>142951</v>
      </c>
      <c r="M214" s="220">
        <f t="shared" si="60"/>
        <v>350744</v>
      </c>
      <c r="N214" s="221">
        <f t="shared" si="57"/>
        <v>142950600</v>
      </c>
      <c r="O214" s="221">
        <f t="shared" si="57"/>
        <v>350744000</v>
      </c>
      <c r="P214" s="238">
        <f>SUM(P215:P222)</f>
        <v>3161888</v>
      </c>
    </row>
    <row r="215" spans="1:16" ht="11.25">
      <c r="A215" s="182">
        <v>199951</v>
      </c>
      <c r="B215" s="93" t="s">
        <v>901</v>
      </c>
      <c r="C215" s="184">
        <v>0</v>
      </c>
      <c r="D215" s="184">
        <v>0</v>
      </c>
      <c r="E215" s="190">
        <v>-2923419</v>
      </c>
      <c r="F215" s="224"/>
      <c r="G215" s="224"/>
      <c r="H215" s="224"/>
      <c r="I215" s="224"/>
      <c r="J215" s="224"/>
      <c r="K215" s="224"/>
      <c r="L215" s="223">
        <v>0</v>
      </c>
      <c r="M215" s="223">
        <v>0</v>
      </c>
      <c r="N215" s="221">
        <f t="shared" si="57"/>
        <v>0</v>
      </c>
      <c r="O215" s="221">
        <f t="shared" si="57"/>
        <v>0</v>
      </c>
      <c r="P215" s="238">
        <f aca="true" t="shared" si="61" ref="P215:P222">+C215+L215-M215</f>
        <v>0</v>
      </c>
    </row>
    <row r="216" spans="1:16" ht="11.25">
      <c r="A216" s="182">
        <v>199952</v>
      </c>
      <c r="B216" s="93" t="s">
        <v>902</v>
      </c>
      <c r="C216" s="184">
        <v>976340</v>
      </c>
      <c r="D216" s="188">
        <v>0</v>
      </c>
      <c r="E216" s="190">
        <v>976340</v>
      </c>
      <c r="F216" s="224"/>
      <c r="G216" s="224"/>
      <c r="H216" s="224"/>
      <c r="I216" s="224"/>
      <c r="J216" s="224">
        <v>142950600</v>
      </c>
      <c r="K216" s="224">
        <v>0</v>
      </c>
      <c r="L216" s="223">
        <v>142951</v>
      </c>
      <c r="M216" s="223">
        <v>0</v>
      </c>
      <c r="N216" s="221">
        <f t="shared" si="57"/>
        <v>142950600</v>
      </c>
      <c r="O216" s="221">
        <f t="shared" si="57"/>
        <v>0</v>
      </c>
      <c r="P216" s="239">
        <f t="shared" si="61"/>
        <v>1119291</v>
      </c>
    </row>
    <row r="217" spans="1:16" ht="11.25">
      <c r="A217" s="182">
        <v>199959</v>
      </c>
      <c r="B217" s="93" t="s">
        <v>903</v>
      </c>
      <c r="C217" s="184">
        <v>0</v>
      </c>
      <c r="D217" s="188">
        <v>0</v>
      </c>
      <c r="E217" s="190">
        <v>0</v>
      </c>
      <c r="F217" s="224"/>
      <c r="G217" s="224"/>
      <c r="H217" s="224"/>
      <c r="I217" s="224"/>
      <c r="J217" s="224"/>
      <c r="K217" s="224"/>
      <c r="L217" s="223">
        <v>0</v>
      </c>
      <c r="M217" s="223">
        <v>0</v>
      </c>
      <c r="N217" s="221">
        <f t="shared" si="57"/>
        <v>0</v>
      </c>
      <c r="O217" s="221">
        <f t="shared" si="57"/>
        <v>0</v>
      </c>
      <c r="P217" s="238">
        <f t="shared" si="61"/>
        <v>0</v>
      </c>
    </row>
    <row r="218" spans="1:16" ht="11.25">
      <c r="A218" s="182">
        <v>199962</v>
      </c>
      <c r="B218" s="93" t="s">
        <v>840</v>
      </c>
      <c r="C218" s="184">
        <v>2393341</v>
      </c>
      <c r="D218" s="188">
        <v>0</v>
      </c>
      <c r="E218" s="190">
        <v>2393341</v>
      </c>
      <c r="F218" s="224"/>
      <c r="G218" s="224"/>
      <c r="H218" s="224"/>
      <c r="I218" s="224"/>
      <c r="J218" s="224">
        <v>0</v>
      </c>
      <c r="K218" s="224">
        <v>350744000</v>
      </c>
      <c r="L218" s="223">
        <v>0</v>
      </c>
      <c r="M218" s="223">
        <v>350744</v>
      </c>
      <c r="N218" s="221">
        <f t="shared" si="57"/>
        <v>0</v>
      </c>
      <c r="O218" s="221">
        <f t="shared" si="57"/>
        <v>350744000</v>
      </c>
      <c r="P218" s="239">
        <f t="shared" si="61"/>
        <v>2042597</v>
      </c>
    </row>
    <row r="219" spans="1:16" ht="11.25">
      <c r="A219" s="182">
        <v>199968</v>
      </c>
      <c r="B219" s="93" t="s">
        <v>904</v>
      </c>
      <c r="C219" s="184">
        <v>0</v>
      </c>
      <c r="D219" s="188">
        <v>0</v>
      </c>
      <c r="E219" s="190">
        <v>0</v>
      </c>
      <c r="F219" s="224"/>
      <c r="G219" s="224"/>
      <c r="H219" s="224"/>
      <c r="I219" s="224"/>
      <c r="J219" s="224"/>
      <c r="K219" s="224"/>
      <c r="L219" s="223">
        <v>0</v>
      </c>
      <c r="M219" s="223">
        <v>0</v>
      </c>
      <c r="N219" s="221">
        <f t="shared" si="57"/>
        <v>0</v>
      </c>
      <c r="O219" s="221">
        <f t="shared" si="57"/>
        <v>0</v>
      </c>
      <c r="P219" s="238">
        <f t="shared" si="61"/>
        <v>0</v>
      </c>
    </row>
    <row r="220" spans="1:16" ht="11.25">
      <c r="A220" s="182">
        <v>199969</v>
      </c>
      <c r="B220" s="93" t="s">
        <v>905</v>
      </c>
      <c r="C220" s="184">
        <v>0</v>
      </c>
      <c r="D220" s="188">
        <v>0</v>
      </c>
      <c r="E220" s="190">
        <v>0</v>
      </c>
      <c r="F220" s="224"/>
      <c r="G220" s="224"/>
      <c r="H220" s="224"/>
      <c r="I220" s="224"/>
      <c r="J220" s="224"/>
      <c r="K220" s="224"/>
      <c r="L220" s="223">
        <v>0</v>
      </c>
      <c r="M220" s="223">
        <v>0</v>
      </c>
      <c r="N220" s="221">
        <f t="shared" si="57"/>
        <v>0</v>
      </c>
      <c r="O220" s="221">
        <f t="shared" si="57"/>
        <v>0</v>
      </c>
      <c r="P220" s="238">
        <f t="shared" si="61"/>
        <v>0</v>
      </c>
    </row>
    <row r="221" spans="1:16" ht="11.25">
      <c r="A221" s="182">
        <v>199970</v>
      </c>
      <c r="B221" s="93" t="s">
        <v>906</v>
      </c>
      <c r="C221" s="184">
        <v>0</v>
      </c>
      <c r="D221" s="188">
        <v>0</v>
      </c>
      <c r="E221" s="190">
        <v>0</v>
      </c>
      <c r="F221" s="224"/>
      <c r="G221" s="224"/>
      <c r="H221" s="224"/>
      <c r="I221" s="224"/>
      <c r="J221" s="224"/>
      <c r="K221" s="224"/>
      <c r="L221" s="223">
        <v>0</v>
      </c>
      <c r="M221" s="223">
        <v>0</v>
      </c>
      <c r="N221" s="221">
        <f t="shared" si="57"/>
        <v>0</v>
      </c>
      <c r="O221" s="221">
        <f t="shared" si="57"/>
        <v>0</v>
      </c>
      <c r="P221" s="238">
        <f t="shared" si="61"/>
        <v>0</v>
      </c>
    </row>
    <row r="222" spans="1:16" ht="22.5">
      <c r="A222" s="182">
        <v>199971</v>
      </c>
      <c r="B222" s="93" t="s">
        <v>907</v>
      </c>
      <c r="C222" s="184">
        <v>0</v>
      </c>
      <c r="D222" s="188">
        <v>0</v>
      </c>
      <c r="E222" s="190">
        <v>0</v>
      </c>
      <c r="F222" s="224"/>
      <c r="G222" s="224"/>
      <c r="H222" s="224"/>
      <c r="I222" s="224"/>
      <c r="J222" s="224"/>
      <c r="K222" s="224"/>
      <c r="L222" s="223">
        <v>0</v>
      </c>
      <c r="M222" s="223">
        <v>0</v>
      </c>
      <c r="N222" s="221">
        <f t="shared" si="57"/>
        <v>0</v>
      </c>
      <c r="O222" s="221">
        <f t="shared" si="57"/>
        <v>0</v>
      </c>
      <c r="P222" s="238">
        <f t="shared" si="61"/>
        <v>0</v>
      </c>
    </row>
    <row r="223" spans="1:16" ht="11.25">
      <c r="A223" s="178">
        <v>200000</v>
      </c>
      <c r="B223" s="90" t="s">
        <v>908</v>
      </c>
      <c r="C223" s="220">
        <f aca="true" t="shared" si="62" ref="C223:M223">C224+C227+C289+C298+C309</f>
        <v>830040863</v>
      </c>
      <c r="D223" s="220">
        <f t="shared" si="62"/>
        <v>28769430354.979996</v>
      </c>
      <c r="E223" s="220">
        <f t="shared" si="62"/>
        <v>0</v>
      </c>
      <c r="F223" s="220">
        <f t="shared" si="62"/>
        <v>1272715810253.2803</v>
      </c>
      <c r="G223" s="220">
        <f t="shared" si="62"/>
        <v>1287391787550.19</v>
      </c>
      <c r="H223" s="220">
        <f t="shared" si="62"/>
        <v>1139903109638.8599</v>
      </c>
      <c r="I223" s="220">
        <f t="shared" si="62"/>
        <v>1306080814646.41</v>
      </c>
      <c r="J223" s="220">
        <f t="shared" si="62"/>
        <v>2542925912150.5107</v>
      </c>
      <c r="K223" s="220">
        <f t="shared" si="62"/>
        <v>2322055908061.3203</v>
      </c>
      <c r="L223" s="220">
        <f t="shared" si="62"/>
        <v>4955544835</v>
      </c>
      <c r="M223" s="220">
        <f t="shared" si="62"/>
        <v>4915528516</v>
      </c>
      <c r="N223" s="221">
        <f t="shared" si="57"/>
        <v>4955544832042.65</v>
      </c>
      <c r="O223" s="221">
        <f t="shared" si="57"/>
        <v>4915528510257.92</v>
      </c>
      <c r="P223" s="238">
        <f>P224+P227+P289+P298+P309</f>
        <v>790024544</v>
      </c>
    </row>
    <row r="224" spans="1:16" ht="11.25">
      <c r="A224" s="178">
        <v>220000</v>
      </c>
      <c r="B224" s="90" t="s">
        <v>909</v>
      </c>
      <c r="C224" s="220">
        <f aca="true" t="shared" si="63" ref="C224:M225">C225</f>
        <v>27433525</v>
      </c>
      <c r="D224" s="220">
        <f t="shared" si="63"/>
        <v>27433525</v>
      </c>
      <c r="E224" s="220">
        <f t="shared" si="63"/>
        <v>0</v>
      </c>
      <c r="F224" s="220">
        <f t="shared" si="63"/>
        <v>0</v>
      </c>
      <c r="G224" s="220">
        <f t="shared" si="63"/>
        <v>0</v>
      </c>
      <c r="H224" s="220">
        <f t="shared" si="63"/>
        <v>27433525485.14</v>
      </c>
      <c r="I224" s="220">
        <f t="shared" si="63"/>
        <v>27433525485.14</v>
      </c>
      <c r="J224" s="220">
        <f t="shared" si="63"/>
        <v>46795947731.41</v>
      </c>
      <c r="K224" s="220">
        <f t="shared" si="63"/>
        <v>35963388423.63</v>
      </c>
      <c r="L224" s="220">
        <f t="shared" si="63"/>
        <v>74229473</v>
      </c>
      <c r="M224" s="220">
        <f t="shared" si="63"/>
        <v>63396914</v>
      </c>
      <c r="N224" s="221">
        <f t="shared" si="57"/>
        <v>74229473216.55</v>
      </c>
      <c r="O224" s="221">
        <f t="shared" si="57"/>
        <v>63396913908.77</v>
      </c>
      <c r="P224" s="238">
        <f>P225</f>
        <v>16600966</v>
      </c>
    </row>
    <row r="225" spans="1:16" ht="22.5">
      <c r="A225" s="178">
        <v>224600</v>
      </c>
      <c r="B225" s="90" t="s">
        <v>910</v>
      </c>
      <c r="C225" s="220">
        <f t="shared" si="63"/>
        <v>27433525</v>
      </c>
      <c r="D225" s="220">
        <f t="shared" si="63"/>
        <v>27433525</v>
      </c>
      <c r="E225" s="220">
        <f t="shared" si="63"/>
        <v>0</v>
      </c>
      <c r="F225" s="220">
        <f t="shared" si="63"/>
        <v>0</v>
      </c>
      <c r="G225" s="220">
        <f t="shared" si="63"/>
        <v>0</v>
      </c>
      <c r="H225" s="220">
        <f t="shared" si="63"/>
        <v>27433525485.14</v>
      </c>
      <c r="I225" s="220">
        <f t="shared" si="63"/>
        <v>27433525485.14</v>
      </c>
      <c r="J225" s="220">
        <f t="shared" si="63"/>
        <v>46795947731.41</v>
      </c>
      <c r="K225" s="220">
        <f t="shared" si="63"/>
        <v>35963388423.63</v>
      </c>
      <c r="L225" s="220">
        <f t="shared" si="63"/>
        <v>74229473</v>
      </c>
      <c r="M225" s="220">
        <f t="shared" si="63"/>
        <v>63396914</v>
      </c>
      <c r="N225" s="221">
        <f t="shared" si="57"/>
        <v>74229473216.55</v>
      </c>
      <c r="O225" s="221">
        <f t="shared" si="57"/>
        <v>63396913908.77</v>
      </c>
      <c r="P225" s="238">
        <f>P226</f>
        <v>16600966</v>
      </c>
    </row>
    <row r="226" spans="1:19" ht="11.25">
      <c r="A226" s="182">
        <v>224625</v>
      </c>
      <c r="B226" s="93" t="s">
        <v>911</v>
      </c>
      <c r="C226" s="184">
        <v>27433525</v>
      </c>
      <c r="D226" s="188">
        <v>27433525</v>
      </c>
      <c r="E226" s="188">
        <v>0</v>
      </c>
      <c r="F226" s="224"/>
      <c r="G226" s="224"/>
      <c r="H226" s="224">
        <v>27433525485.14</v>
      </c>
      <c r="I226" s="224">
        <v>27433525485.14</v>
      </c>
      <c r="J226" s="224">
        <v>46795947731.41</v>
      </c>
      <c r="K226" s="224">
        <v>35963388423.63</v>
      </c>
      <c r="L226" s="223">
        <v>74229473</v>
      </c>
      <c r="M226" s="223">
        <v>63396914</v>
      </c>
      <c r="N226" s="221">
        <f t="shared" si="57"/>
        <v>74229473216.55</v>
      </c>
      <c r="O226" s="221">
        <f t="shared" si="57"/>
        <v>63396913908.77</v>
      </c>
      <c r="P226" s="239">
        <f>+C226+M226-L226</f>
        <v>16600966</v>
      </c>
      <c r="S226" s="186"/>
    </row>
    <row r="227" spans="1:16" ht="11.25">
      <c r="A227" s="178">
        <v>240000</v>
      </c>
      <c r="B227" s="90" t="s">
        <v>912</v>
      </c>
      <c r="C227" s="220">
        <f aca="true" t="shared" si="64" ref="C227:M227">C228+C232+C241+C262+C264+C275+C277+C283+C286</f>
        <v>801489692</v>
      </c>
      <c r="D227" s="220">
        <f t="shared" si="64"/>
        <v>28620205527.869995</v>
      </c>
      <c r="E227" s="220">
        <f t="shared" si="64"/>
        <v>0</v>
      </c>
      <c r="F227" s="220">
        <f t="shared" si="64"/>
        <v>1271573398060.4302</v>
      </c>
      <c r="G227" s="220">
        <f t="shared" si="64"/>
        <v>1286250825438.29</v>
      </c>
      <c r="H227" s="220">
        <f t="shared" si="64"/>
        <v>1110909319718.72</v>
      </c>
      <c r="I227" s="220">
        <f t="shared" si="64"/>
        <v>1277135734845.24</v>
      </c>
      <c r="J227" s="220">
        <f t="shared" si="64"/>
        <v>2473101183854.571</v>
      </c>
      <c r="K227" s="220">
        <f t="shared" si="64"/>
        <v>2263209278837.71</v>
      </c>
      <c r="L227" s="220">
        <f t="shared" si="64"/>
        <v>4855583907</v>
      </c>
      <c r="M227" s="220">
        <f t="shared" si="64"/>
        <v>4826595846</v>
      </c>
      <c r="N227" s="221">
        <f t="shared" si="57"/>
        <v>4855583901633.721</v>
      </c>
      <c r="O227" s="221">
        <f t="shared" si="57"/>
        <v>4826595839121.24</v>
      </c>
      <c r="P227" s="238">
        <f>P228+P232+P241+P262+P264+P275+P277+P283+P286</f>
        <v>772501631</v>
      </c>
    </row>
    <row r="228" spans="1:16" ht="11.25">
      <c r="A228" s="178">
        <v>240100</v>
      </c>
      <c r="B228" s="90" t="s">
        <v>913</v>
      </c>
      <c r="C228" s="220">
        <f aca="true" t="shared" si="65" ref="C228:M228">SUM(C229:C231)</f>
        <v>1006883</v>
      </c>
      <c r="D228" s="220">
        <f t="shared" si="65"/>
        <v>-377512419.0399933</v>
      </c>
      <c r="E228" s="220">
        <f t="shared" si="65"/>
        <v>0</v>
      </c>
      <c r="F228" s="220">
        <f t="shared" si="65"/>
        <v>6743590520.2699995</v>
      </c>
      <c r="G228" s="220">
        <f t="shared" si="65"/>
        <v>5807536804.55</v>
      </c>
      <c r="H228" s="220">
        <f t="shared" si="65"/>
        <v>32329775086.34</v>
      </c>
      <c r="I228" s="220">
        <f t="shared" si="65"/>
        <v>32352635134.34</v>
      </c>
      <c r="J228" s="220">
        <f t="shared" si="65"/>
        <v>127291862386.36998</v>
      </c>
      <c r="K228" s="220">
        <f t="shared" si="65"/>
        <v>129451292450.9</v>
      </c>
      <c r="L228" s="220">
        <f t="shared" si="65"/>
        <v>166365229</v>
      </c>
      <c r="M228" s="220">
        <f t="shared" si="65"/>
        <v>167611466</v>
      </c>
      <c r="N228" s="221">
        <f t="shared" si="57"/>
        <v>166365227992.97998</v>
      </c>
      <c r="O228" s="221">
        <f t="shared" si="57"/>
        <v>167611464389.78998</v>
      </c>
      <c r="P228" s="238">
        <f>SUM(P229:P231)</f>
        <v>2253120</v>
      </c>
    </row>
    <row r="229" spans="1:16" ht="11.25">
      <c r="A229" s="182">
        <v>240101</v>
      </c>
      <c r="B229" s="93" t="s">
        <v>914</v>
      </c>
      <c r="C229" s="184">
        <v>46476</v>
      </c>
      <c r="D229" s="188">
        <v>49924196</v>
      </c>
      <c r="E229" s="190">
        <v>0</v>
      </c>
      <c r="F229" s="224">
        <v>107241993.74</v>
      </c>
      <c r="G229" s="224">
        <v>130845086.74</v>
      </c>
      <c r="H229" s="224">
        <v>133704555</v>
      </c>
      <c r="I229" s="224">
        <v>157314603</v>
      </c>
      <c r="J229" s="224">
        <v>507803020.76000005</v>
      </c>
      <c r="K229" s="224">
        <v>424600418.76</v>
      </c>
      <c r="L229" s="223">
        <v>748750</v>
      </c>
      <c r="M229" s="223">
        <f>712760+1</f>
        <v>712761</v>
      </c>
      <c r="N229" s="221">
        <f t="shared" si="57"/>
        <v>748749569.5</v>
      </c>
      <c r="O229" s="221">
        <f t="shared" si="57"/>
        <v>712760108.5</v>
      </c>
      <c r="P229" s="239">
        <f>+C229+M229-L229</f>
        <v>10487</v>
      </c>
    </row>
    <row r="230" spans="1:16" ht="11.25">
      <c r="A230" s="182">
        <v>240102</v>
      </c>
      <c r="B230" s="93" t="s">
        <v>915</v>
      </c>
      <c r="C230" s="184">
        <v>960407</v>
      </c>
      <c r="D230" s="188">
        <v>-427436615.0399933</v>
      </c>
      <c r="E230" s="190">
        <v>0</v>
      </c>
      <c r="F230" s="224">
        <v>6636348526.53</v>
      </c>
      <c r="G230" s="224">
        <v>5676691717.81</v>
      </c>
      <c r="H230" s="224">
        <v>32196070531.34</v>
      </c>
      <c r="I230" s="224">
        <v>32195320531.34</v>
      </c>
      <c r="J230" s="224">
        <v>126531852647.60999</v>
      </c>
      <c r="K230" s="224">
        <v>128774485314.14</v>
      </c>
      <c r="L230" s="223">
        <v>165364272</v>
      </c>
      <c r="M230" s="223">
        <v>166646498</v>
      </c>
      <c r="N230" s="221">
        <f t="shared" si="57"/>
        <v>165364271705.47998</v>
      </c>
      <c r="O230" s="221">
        <f t="shared" si="57"/>
        <v>166646497563.29</v>
      </c>
      <c r="P230" s="239">
        <f>+C230+M230-L230</f>
        <v>2242633</v>
      </c>
    </row>
    <row r="231" spans="1:16" ht="11.25">
      <c r="A231" s="182"/>
      <c r="B231" s="93"/>
      <c r="C231" s="184"/>
      <c r="D231" s="188"/>
      <c r="E231" s="190"/>
      <c r="F231" s="224"/>
      <c r="G231" s="224"/>
      <c r="H231" s="224"/>
      <c r="I231" s="224"/>
      <c r="J231" s="224">
        <v>252206718</v>
      </c>
      <c r="K231" s="224">
        <v>252206718</v>
      </c>
      <c r="L231" s="223">
        <v>252207</v>
      </c>
      <c r="M231" s="223">
        <v>252207</v>
      </c>
      <c r="N231" s="221">
        <f t="shared" si="57"/>
        <v>252206718</v>
      </c>
      <c r="O231" s="221">
        <f t="shared" si="57"/>
        <v>252206718</v>
      </c>
      <c r="P231" s="239">
        <f>+C231+M231-L231</f>
        <v>0</v>
      </c>
    </row>
    <row r="232" spans="1:16" ht="11.25">
      <c r="A232" s="178">
        <v>240300</v>
      </c>
      <c r="B232" s="90" t="s">
        <v>916</v>
      </c>
      <c r="C232" s="220">
        <f aca="true" t="shared" si="66" ref="C232:M232">SUM(C233:C240)</f>
        <v>798263736</v>
      </c>
      <c r="D232" s="220">
        <f t="shared" si="66"/>
        <v>29550220521.98999</v>
      </c>
      <c r="E232" s="220">
        <f t="shared" si="66"/>
        <v>0</v>
      </c>
      <c r="F232" s="220">
        <f t="shared" si="66"/>
        <v>1260746366109.31</v>
      </c>
      <c r="G232" s="220">
        <f t="shared" si="66"/>
        <v>1277718909906</v>
      </c>
      <c r="H232" s="220">
        <f t="shared" si="66"/>
        <v>1074920753865.72</v>
      </c>
      <c r="I232" s="220">
        <f t="shared" si="66"/>
        <v>1238380236100.6401</v>
      </c>
      <c r="J232" s="220">
        <f t="shared" si="66"/>
        <v>2317248452441.99</v>
      </c>
      <c r="K232" s="220">
        <f t="shared" si="66"/>
        <v>2106948302975.07</v>
      </c>
      <c r="L232" s="220">
        <f t="shared" si="66"/>
        <v>4652915573</v>
      </c>
      <c r="M232" s="220">
        <f t="shared" si="66"/>
        <v>4623047450</v>
      </c>
      <c r="N232" s="221">
        <f t="shared" si="57"/>
        <v>4652915572417.0205</v>
      </c>
      <c r="O232" s="221">
        <f t="shared" si="57"/>
        <v>4623047448981.71</v>
      </c>
      <c r="P232" s="238">
        <f>SUM(P233:P240)</f>
        <v>768395613</v>
      </c>
    </row>
    <row r="233" spans="1:16" ht="11.25">
      <c r="A233" s="182">
        <v>240303</v>
      </c>
      <c r="B233" s="93" t="s">
        <v>917</v>
      </c>
      <c r="C233" s="184">
        <v>1225</v>
      </c>
      <c r="D233" s="188">
        <v>-1871505</v>
      </c>
      <c r="E233" s="188">
        <v>0</v>
      </c>
      <c r="F233" s="224">
        <v>29238455</v>
      </c>
      <c r="G233" s="224">
        <v>28013493</v>
      </c>
      <c r="H233" s="224">
        <v>115079240</v>
      </c>
      <c r="I233" s="224">
        <v>115079240</v>
      </c>
      <c r="J233" s="224">
        <v>1524674007.5</v>
      </c>
      <c r="K233" s="224">
        <v>1524674007.5</v>
      </c>
      <c r="L233" s="223">
        <v>1668992</v>
      </c>
      <c r="M233" s="223">
        <v>1667767</v>
      </c>
      <c r="N233" s="221">
        <f t="shared" si="57"/>
        <v>1668991702.5</v>
      </c>
      <c r="O233" s="221">
        <f t="shared" si="57"/>
        <v>1667766740.5</v>
      </c>
      <c r="P233" s="239">
        <f aca="true" t="shared" si="67" ref="P233:P240">+C233+M233-L233</f>
        <v>0</v>
      </c>
    </row>
    <row r="234" spans="1:16" ht="11.25">
      <c r="A234" s="182">
        <v>240304</v>
      </c>
      <c r="B234" s="93" t="s">
        <v>918</v>
      </c>
      <c r="C234" s="184">
        <v>79147708</v>
      </c>
      <c r="D234" s="188">
        <v>3528606265.48999</v>
      </c>
      <c r="E234" s="188">
        <v>0</v>
      </c>
      <c r="F234" s="224">
        <v>175011278675.81</v>
      </c>
      <c r="G234" s="224">
        <v>174370923365</v>
      </c>
      <c r="H234" s="224">
        <v>338108110748.72</v>
      </c>
      <c r="I234" s="224">
        <v>481108979858.64</v>
      </c>
      <c r="J234" s="224">
        <v>700131713202.49</v>
      </c>
      <c r="K234" s="224">
        <v>479425827408.57</v>
      </c>
      <c r="L234" s="223">
        <v>1213251103</v>
      </c>
      <c r="M234" s="223">
        <f>1134905731+1</f>
        <v>1134905732</v>
      </c>
      <c r="N234" s="221">
        <f t="shared" si="57"/>
        <v>1213251102627.02</v>
      </c>
      <c r="O234" s="221">
        <f t="shared" si="57"/>
        <v>1134905730632.21</v>
      </c>
      <c r="P234" s="239">
        <f t="shared" si="67"/>
        <v>802337</v>
      </c>
    </row>
    <row r="235" spans="1:16" ht="22.5">
      <c r="A235" s="182">
        <v>240305</v>
      </c>
      <c r="B235" s="93" t="s">
        <v>919</v>
      </c>
      <c r="C235" s="184">
        <v>11986</v>
      </c>
      <c r="D235" s="188">
        <v>-3484619.5</v>
      </c>
      <c r="E235" s="188">
        <v>0</v>
      </c>
      <c r="F235" s="224">
        <v>237458263.5</v>
      </c>
      <c r="G235" s="224">
        <v>227611457</v>
      </c>
      <c r="H235" s="224">
        <v>153266850</v>
      </c>
      <c r="I235" s="224">
        <v>168515005</v>
      </c>
      <c r="J235" s="224">
        <v>298329575</v>
      </c>
      <c r="K235" s="224">
        <v>280942777</v>
      </c>
      <c r="L235" s="223">
        <v>689055</v>
      </c>
      <c r="M235" s="223">
        <v>677069</v>
      </c>
      <c r="N235" s="221">
        <f t="shared" si="57"/>
        <v>689054688.5</v>
      </c>
      <c r="O235" s="221">
        <f t="shared" si="57"/>
        <v>677069239</v>
      </c>
      <c r="P235" s="239">
        <f t="shared" si="67"/>
        <v>0</v>
      </c>
    </row>
    <row r="236" spans="1:16" ht="11.25">
      <c r="A236" s="182">
        <v>240307</v>
      </c>
      <c r="B236" s="93" t="s">
        <v>920</v>
      </c>
      <c r="C236" s="184">
        <v>0</v>
      </c>
      <c r="D236" s="188">
        <v>0</v>
      </c>
      <c r="E236" s="188">
        <v>0</v>
      </c>
      <c r="F236" s="224"/>
      <c r="G236" s="224"/>
      <c r="H236" s="224"/>
      <c r="I236" s="224"/>
      <c r="J236" s="224"/>
      <c r="K236" s="224"/>
      <c r="L236" s="223">
        <v>0</v>
      </c>
      <c r="M236" s="223">
        <v>0</v>
      </c>
      <c r="N236" s="221">
        <f t="shared" si="57"/>
        <v>0</v>
      </c>
      <c r="O236" s="221">
        <f t="shared" si="57"/>
        <v>0</v>
      </c>
      <c r="P236" s="239">
        <f t="shared" si="67"/>
        <v>0</v>
      </c>
    </row>
    <row r="237" spans="1:16" ht="11.25">
      <c r="A237" s="182">
        <v>240308</v>
      </c>
      <c r="B237" s="93" t="s">
        <v>921</v>
      </c>
      <c r="C237" s="184">
        <v>0</v>
      </c>
      <c r="D237" s="188">
        <v>0</v>
      </c>
      <c r="E237" s="188">
        <v>0</v>
      </c>
      <c r="F237" s="224"/>
      <c r="G237" s="224"/>
      <c r="H237" s="224"/>
      <c r="I237" s="224"/>
      <c r="J237" s="224"/>
      <c r="K237" s="224"/>
      <c r="L237" s="223">
        <v>0</v>
      </c>
      <c r="M237" s="223">
        <v>0</v>
      </c>
      <c r="N237" s="221">
        <f t="shared" si="57"/>
        <v>0</v>
      </c>
      <c r="O237" s="221">
        <f t="shared" si="57"/>
        <v>0</v>
      </c>
      <c r="P237" s="239">
        <f t="shared" si="67"/>
        <v>0</v>
      </c>
    </row>
    <row r="238" spans="1:16" ht="11.25">
      <c r="A238" s="182">
        <v>240311</v>
      </c>
      <c r="B238" s="93" t="s">
        <v>922</v>
      </c>
      <c r="C238" s="184">
        <v>0</v>
      </c>
      <c r="D238" s="188">
        <v>0</v>
      </c>
      <c r="E238" s="188">
        <v>0</v>
      </c>
      <c r="F238" s="224"/>
      <c r="G238" s="224"/>
      <c r="H238" s="224"/>
      <c r="I238" s="224"/>
      <c r="J238" s="224"/>
      <c r="K238" s="224"/>
      <c r="L238" s="223">
        <v>0</v>
      </c>
      <c r="M238" s="223">
        <v>0</v>
      </c>
      <c r="N238" s="221">
        <f t="shared" si="57"/>
        <v>0</v>
      </c>
      <c r="O238" s="221">
        <f t="shared" si="57"/>
        <v>0</v>
      </c>
      <c r="P238" s="239">
        <f t="shared" si="67"/>
        <v>0</v>
      </c>
    </row>
    <row r="239" spans="1:16" ht="11.25">
      <c r="A239" s="182">
        <v>240313</v>
      </c>
      <c r="B239" s="93" t="s">
        <v>922</v>
      </c>
      <c r="C239" s="184">
        <v>0</v>
      </c>
      <c r="D239" s="188">
        <v>0</v>
      </c>
      <c r="E239" s="188">
        <v>0</v>
      </c>
      <c r="F239" s="224"/>
      <c r="G239" s="224"/>
      <c r="H239" s="224"/>
      <c r="I239" s="224"/>
      <c r="J239" s="224"/>
      <c r="K239" s="224"/>
      <c r="L239" s="223">
        <v>0</v>
      </c>
      <c r="M239" s="223">
        <v>0</v>
      </c>
      <c r="N239" s="221">
        <f t="shared" si="57"/>
        <v>0</v>
      </c>
      <c r="O239" s="221">
        <f t="shared" si="57"/>
        <v>0</v>
      </c>
      <c r="P239" s="239">
        <f t="shared" si="67"/>
        <v>0</v>
      </c>
    </row>
    <row r="240" spans="1:16" ht="11.25">
      <c r="A240" s="182">
        <v>240314</v>
      </c>
      <c r="B240" s="93" t="s">
        <v>923</v>
      </c>
      <c r="C240" s="184">
        <v>719102817</v>
      </c>
      <c r="D240" s="188">
        <v>26026970381</v>
      </c>
      <c r="E240" s="188">
        <v>0</v>
      </c>
      <c r="F240" s="224">
        <v>1085468390715</v>
      </c>
      <c r="G240" s="224">
        <v>1103092361591</v>
      </c>
      <c r="H240" s="224">
        <v>736544297027</v>
      </c>
      <c r="I240" s="224">
        <v>756987661997</v>
      </c>
      <c r="J240" s="224">
        <v>1615293735657</v>
      </c>
      <c r="K240" s="224">
        <v>1625716858782</v>
      </c>
      <c r="L240" s="223">
        <v>3437306423</v>
      </c>
      <c r="M240" s="223">
        <v>3485796882</v>
      </c>
      <c r="N240" s="221">
        <f t="shared" si="57"/>
        <v>3437306423399</v>
      </c>
      <c r="O240" s="221">
        <f t="shared" si="57"/>
        <v>3485796882370</v>
      </c>
      <c r="P240" s="239">
        <f t="shared" si="67"/>
        <v>767593276</v>
      </c>
    </row>
    <row r="241" spans="1:16" ht="11.25">
      <c r="A241" s="178">
        <v>242500</v>
      </c>
      <c r="B241" s="90" t="s">
        <v>924</v>
      </c>
      <c r="C241" s="220">
        <f aca="true" t="shared" si="68" ref="C241:M241">SUM(C242:C261)</f>
        <v>689357</v>
      </c>
      <c r="D241" s="220">
        <f t="shared" si="68"/>
        <v>-604681183</v>
      </c>
      <c r="E241" s="220">
        <f t="shared" si="68"/>
        <v>0</v>
      </c>
      <c r="F241" s="220">
        <f t="shared" si="68"/>
        <v>1007720965</v>
      </c>
      <c r="G241" s="220">
        <f t="shared" si="68"/>
        <v>531905295</v>
      </c>
      <c r="H241" s="220">
        <f t="shared" si="68"/>
        <v>438634163.1</v>
      </c>
      <c r="I241" s="220">
        <f t="shared" si="68"/>
        <v>487140038.7</v>
      </c>
      <c r="J241" s="220">
        <f t="shared" si="68"/>
        <v>1248035174.2399998</v>
      </c>
      <c r="K241" s="220">
        <f t="shared" si="68"/>
        <v>1721195209.77</v>
      </c>
      <c r="L241" s="220">
        <f t="shared" si="68"/>
        <v>2694392</v>
      </c>
      <c r="M241" s="220">
        <f t="shared" si="68"/>
        <v>2740244</v>
      </c>
      <c r="N241" s="221">
        <f t="shared" si="57"/>
        <v>2694390302.3399997</v>
      </c>
      <c r="O241" s="221">
        <f t="shared" si="57"/>
        <v>2740240543.4700003</v>
      </c>
      <c r="P241" s="238">
        <f>SUM(P242:P261)</f>
        <v>735209</v>
      </c>
    </row>
    <row r="242" spans="1:16" ht="11.25">
      <c r="A242" s="182">
        <v>242501</v>
      </c>
      <c r="B242" s="93" t="s">
        <v>925</v>
      </c>
      <c r="C242" s="184">
        <v>9428</v>
      </c>
      <c r="D242" s="188">
        <v>18099596</v>
      </c>
      <c r="E242" s="190">
        <v>0</v>
      </c>
      <c r="F242" s="224">
        <v>56892839</v>
      </c>
      <c r="G242" s="224">
        <v>82946190</v>
      </c>
      <c r="H242" s="224">
        <v>36338691</v>
      </c>
      <c r="I242" s="224">
        <v>53803914.7</v>
      </c>
      <c r="J242" s="224">
        <v>283812705.08</v>
      </c>
      <c r="K242" s="224">
        <v>230866277.38</v>
      </c>
      <c r="L242" s="223">
        <v>377044</v>
      </c>
      <c r="M242" s="223">
        <v>367616</v>
      </c>
      <c r="N242" s="221">
        <f t="shared" si="57"/>
        <v>377044235.08</v>
      </c>
      <c r="O242" s="221">
        <f t="shared" si="57"/>
        <v>367616382.08</v>
      </c>
      <c r="P242" s="239">
        <f aca="true" t="shared" si="69" ref="P242:P261">+C242+M242-L242</f>
        <v>0</v>
      </c>
    </row>
    <row r="243" spans="1:16" ht="11.25">
      <c r="A243" s="182">
        <v>242504</v>
      </c>
      <c r="B243" s="93" t="s">
        <v>926</v>
      </c>
      <c r="C243" s="184">
        <v>25</v>
      </c>
      <c r="D243" s="188">
        <v>-25399</v>
      </c>
      <c r="E243" s="190">
        <v>0</v>
      </c>
      <c r="F243" s="224">
        <v>51211942</v>
      </c>
      <c r="G243" s="224">
        <v>51186543</v>
      </c>
      <c r="H243" s="224">
        <v>15003295</v>
      </c>
      <c r="I243" s="224">
        <v>15003295</v>
      </c>
      <c r="J243" s="224">
        <v>156883792.76</v>
      </c>
      <c r="K243" s="224">
        <v>170414577.28</v>
      </c>
      <c r="L243" s="223">
        <v>223099</v>
      </c>
      <c r="M243" s="223">
        <v>236604</v>
      </c>
      <c r="N243" s="221">
        <f t="shared" si="57"/>
        <v>223099029.76</v>
      </c>
      <c r="O243" s="221">
        <f t="shared" si="57"/>
        <v>236604415.28</v>
      </c>
      <c r="P243" s="239">
        <f t="shared" si="69"/>
        <v>13530</v>
      </c>
    </row>
    <row r="244" spans="1:16" ht="11.25">
      <c r="A244" s="182">
        <v>242507</v>
      </c>
      <c r="B244" s="93" t="s">
        <v>3499</v>
      </c>
      <c r="C244" s="184">
        <v>0</v>
      </c>
      <c r="D244" s="188">
        <v>0</v>
      </c>
      <c r="E244" s="190">
        <v>0</v>
      </c>
      <c r="F244" s="224"/>
      <c r="G244" s="224"/>
      <c r="H244" s="224"/>
      <c r="I244" s="224"/>
      <c r="J244" s="224"/>
      <c r="K244" s="224"/>
      <c r="L244" s="223">
        <v>0</v>
      </c>
      <c r="M244" s="223">
        <v>0</v>
      </c>
      <c r="N244" s="221">
        <f t="shared" si="57"/>
        <v>0</v>
      </c>
      <c r="O244" s="221">
        <f t="shared" si="57"/>
        <v>0</v>
      </c>
      <c r="P244" s="239">
        <f t="shared" si="69"/>
        <v>0</v>
      </c>
    </row>
    <row r="245" spans="1:16" ht="11.25">
      <c r="A245" s="182">
        <v>242508</v>
      </c>
      <c r="B245" s="93" t="s">
        <v>927</v>
      </c>
      <c r="C245" s="184">
        <v>1057</v>
      </c>
      <c r="D245" s="188">
        <v>1057</v>
      </c>
      <c r="E245" s="190">
        <v>0</v>
      </c>
      <c r="F245" s="224"/>
      <c r="G245" s="224"/>
      <c r="H245" s="224"/>
      <c r="I245" s="224"/>
      <c r="J245" s="224">
        <v>1057043</v>
      </c>
      <c r="K245" s="224">
        <v>0</v>
      </c>
      <c r="L245" s="223">
        <v>1057</v>
      </c>
      <c r="M245" s="223">
        <v>0</v>
      </c>
      <c r="N245" s="221">
        <f t="shared" si="57"/>
        <v>1057043</v>
      </c>
      <c r="O245" s="221">
        <f t="shared" si="57"/>
        <v>0</v>
      </c>
      <c r="P245" s="239">
        <f t="shared" si="69"/>
        <v>0</v>
      </c>
    </row>
    <row r="246" spans="1:16" ht="11.25">
      <c r="A246" s="182">
        <v>242510</v>
      </c>
      <c r="B246" s="93" t="s">
        <v>847</v>
      </c>
      <c r="C246" s="184">
        <v>0</v>
      </c>
      <c r="D246" s="188">
        <v>0</v>
      </c>
      <c r="E246" s="190">
        <v>0</v>
      </c>
      <c r="F246" s="224"/>
      <c r="G246" s="224"/>
      <c r="H246" s="224"/>
      <c r="I246" s="224"/>
      <c r="J246" s="224"/>
      <c r="K246" s="224"/>
      <c r="L246" s="223">
        <v>0</v>
      </c>
      <c r="M246" s="223">
        <v>0</v>
      </c>
      <c r="N246" s="221">
        <f t="shared" si="57"/>
        <v>0</v>
      </c>
      <c r="O246" s="221">
        <f t="shared" si="57"/>
        <v>0</v>
      </c>
      <c r="P246" s="239">
        <f t="shared" si="69"/>
        <v>0</v>
      </c>
    </row>
    <row r="247" spans="1:16" ht="11.25">
      <c r="A247" s="182">
        <v>242513</v>
      </c>
      <c r="B247" s="93" t="s">
        <v>928</v>
      </c>
      <c r="C247" s="184">
        <v>1949</v>
      </c>
      <c r="D247" s="188">
        <v>667737</v>
      </c>
      <c r="E247" s="190">
        <v>0</v>
      </c>
      <c r="F247" s="224">
        <v>0</v>
      </c>
      <c r="G247" s="224">
        <v>740645</v>
      </c>
      <c r="H247" s="224">
        <v>1613386</v>
      </c>
      <c r="I247" s="224">
        <v>872741</v>
      </c>
      <c r="J247" s="224">
        <v>1948679.5</v>
      </c>
      <c r="K247" s="224">
        <v>0</v>
      </c>
      <c r="L247" s="223">
        <v>3562</v>
      </c>
      <c r="M247" s="223">
        <v>1613</v>
      </c>
      <c r="N247" s="221">
        <f t="shared" si="57"/>
        <v>3562065.5</v>
      </c>
      <c r="O247" s="221">
        <f t="shared" si="57"/>
        <v>1613386</v>
      </c>
      <c r="P247" s="239">
        <f t="shared" si="69"/>
        <v>0</v>
      </c>
    </row>
    <row r="248" spans="1:16" ht="11.25">
      <c r="A248" s="182">
        <v>242518</v>
      </c>
      <c r="B248" s="93" t="s">
        <v>929</v>
      </c>
      <c r="C248" s="184">
        <v>71143</v>
      </c>
      <c r="D248" s="188">
        <v>-54695263</v>
      </c>
      <c r="E248" s="190">
        <v>0</v>
      </c>
      <c r="F248" s="224">
        <v>138549298</v>
      </c>
      <c r="G248" s="224">
        <v>133875000</v>
      </c>
      <c r="H248" s="224">
        <v>137083700</v>
      </c>
      <c r="I248" s="224">
        <v>135370600</v>
      </c>
      <c r="J248" s="224">
        <v>264215602</v>
      </c>
      <c r="K248" s="224">
        <v>199460023</v>
      </c>
      <c r="L248" s="223">
        <v>539849</v>
      </c>
      <c r="M248" s="223">
        <v>468706</v>
      </c>
      <c r="N248" s="221">
        <f t="shared" si="57"/>
        <v>539848600</v>
      </c>
      <c r="O248" s="221">
        <f t="shared" si="57"/>
        <v>468705623</v>
      </c>
      <c r="P248" s="239">
        <f t="shared" si="69"/>
        <v>0</v>
      </c>
    </row>
    <row r="249" spans="1:16" ht="11.25">
      <c r="A249" s="182">
        <v>242519</v>
      </c>
      <c r="B249" s="93" t="s">
        <v>930</v>
      </c>
      <c r="C249" s="184">
        <v>48764</v>
      </c>
      <c r="D249" s="188">
        <v>-30185705</v>
      </c>
      <c r="E249" s="190">
        <v>0</v>
      </c>
      <c r="F249" s="224">
        <v>81858054</v>
      </c>
      <c r="G249" s="224">
        <v>83122036</v>
      </c>
      <c r="H249" s="224">
        <v>83876836</v>
      </c>
      <c r="I249" s="224">
        <v>83692961</v>
      </c>
      <c r="J249" s="224">
        <v>169632746</v>
      </c>
      <c r="K249" s="224">
        <v>119788917</v>
      </c>
      <c r="L249" s="223">
        <v>335368</v>
      </c>
      <c r="M249" s="223">
        <v>286604</v>
      </c>
      <c r="N249" s="221">
        <f t="shared" si="57"/>
        <v>335367636</v>
      </c>
      <c r="O249" s="221">
        <f t="shared" si="57"/>
        <v>286603914</v>
      </c>
      <c r="P249" s="239">
        <f t="shared" si="69"/>
        <v>0</v>
      </c>
    </row>
    <row r="250" spans="1:16" ht="11.25">
      <c r="A250" s="182">
        <v>242520</v>
      </c>
      <c r="B250" s="93" t="s">
        <v>931</v>
      </c>
      <c r="C250" s="184">
        <v>44434</v>
      </c>
      <c r="D250" s="188">
        <v>-40857667</v>
      </c>
      <c r="E250" s="190">
        <v>0</v>
      </c>
      <c r="F250" s="224">
        <v>55736100</v>
      </c>
      <c r="G250" s="224">
        <v>55444800</v>
      </c>
      <c r="H250" s="224">
        <v>58022650</v>
      </c>
      <c r="I250" s="224">
        <v>60812175</v>
      </c>
      <c r="J250" s="224">
        <v>178070880</v>
      </c>
      <c r="K250" s="224">
        <v>131138307</v>
      </c>
      <c r="L250" s="223">
        <f>291830</f>
        <v>291830</v>
      </c>
      <c r="M250" s="223">
        <f>247395+1</f>
        <v>247396</v>
      </c>
      <c r="N250" s="221">
        <f t="shared" si="57"/>
        <v>291829630</v>
      </c>
      <c r="O250" s="221">
        <f t="shared" si="57"/>
        <v>247395282</v>
      </c>
      <c r="P250" s="239">
        <f t="shared" si="69"/>
        <v>0</v>
      </c>
    </row>
    <row r="251" spans="1:16" ht="11.25">
      <c r="A251" s="182">
        <v>242521</v>
      </c>
      <c r="B251" s="93" t="s">
        <v>932</v>
      </c>
      <c r="C251" s="184">
        <v>0</v>
      </c>
      <c r="D251" s="188">
        <v>0</v>
      </c>
      <c r="E251" s="190">
        <v>0</v>
      </c>
      <c r="F251" s="224">
        <v>233427</v>
      </c>
      <c r="G251" s="224">
        <v>233427</v>
      </c>
      <c r="H251" s="224">
        <v>268777.1</v>
      </c>
      <c r="I251" s="224">
        <v>268778</v>
      </c>
      <c r="J251" s="224">
        <v>231308.9</v>
      </c>
      <c r="K251" s="224">
        <v>231308</v>
      </c>
      <c r="L251" s="223">
        <v>734</v>
      </c>
      <c r="M251" s="223">
        <v>734</v>
      </c>
      <c r="N251" s="221">
        <f t="shared" si="57"/>
        <v>733513</v>
      </c>
      <c r="O251" s="221">
        <f t="shared" si="57"/>
        <v>733513</v>
      </c>
      <c r="P251" s="239">
        <f t="shared" si="69"/>
        <v>0</v>
      </c>
    </row>
    <row r="252" spans="1:16" ht="11.25">
      <c r="A252" s="182">
        <v>242522</v>
      </c>
      <c r="B252" s="93" t="s">
        <v>933</v>
      </c>
      <c r="C252" s="184">
        <v>810</v>
      </c>
      <c r="D252" s="188">
        <v>-654771</v>
      </c>
      <c r="E252" s="190">
        <v>0</v>
      </c>
      <c r="F252" s="224">
        <v>21369107</v>
      </c>
      <c r="G252" s="224">
        <v>20714181</v>
      </c>
      <c r="H252" s="224">
        <v>22386313</v>
      </c>
      <c r="I252" s="224">
        <v>23090967</v>
      </c>
      <c r="J252" s="224">
        <v>28515997</v>
      </c>
      <c r="K252" s="224">
        <v>27656466</v>
      </c>
      <c r="L252" s="223">
        <f>72271+1</f>
        <v>72272</v>
      </c>
      <c r="M252" s="223">
        <v>71462</v>
      </c>
      <c r="N252" s="221">
        <f t="shared" si="57"/>
        <v>72271417</v>
      </c>
      <c r="O252" s="221">
        <f t="shared" si="57"/>
        <v>71461614</v>
      </c>
      <c r="P252" s="239">
        <f t="shared" si="69"/>
        <v>0</v>
      </c>
    </row>
    <row r="253" spans="1:16" ht="11.25">
      <c r="A253" s="182">
        <v>242523</v>
      </c>
      <c r="B253" s="192" t="s">
        <v>934</v>
      </c>
      <c r="C253" s="184">
        <v>600</v>
      </c>
      <c r="D253" s="188"/>
      <c r="E253" s="190"/>
      <c r="F253" s="224">
        <v>29145714</v>
      </c>
      <c r="G253" s="224">
        <v>28546024</v>
      </c>
      <c r="H253" s="224">
        <v>29519702</v>
      </c>
      <c r="I253" s="224">
        <v>30286654</v>
      </c>
      <c r="J253" s="224">
        <v>37126900</v>
      </c>
      <c r="K253" s="224">
        <v>36359948</v>
      </c>
      <c r="L253" s="223">
        <f>95792+1</f>
        <v>95793</v>
      </c>
      <c r="M253" s="223">
        <v>95193</v>
      </c>
      <c r="N253" s="221">
        <f t="shared" si="57"/>
        <v>95792316</v>
      </c>
      <c r="O253" s="221">
        <f t="shared" si="57"/>
        <v>95192626</v>
      </c>
      <c r="P253" s="239">
        <f t="shared" si="69"/>
        <v>0</v>
      </c>
    </row>
    <row r="254" spans="1:16" ht="11.25">
      <c r="A254" s="182">
        <v>242524</v>
      </c>
      <c r="B254" s="93" t="s">
        <v>935</v>
      </c>
      <c r="C254" s="184">
        <v>493809</v>
      </c>
      <c r="D254" s="188">
        <v>-493447019</v>
      </c>
      <c r="E254" s="190">
        <v>0</v>
      </c>
      <c r="F254" s="224">
        <v>524177388</v>
      </c>
      <c r="G254" s="224">
        <v>30368181</v>
      </c>
      <c r="H254" s="224">
        <v>1902930</v>
      </c>
      <c r="I254" s="224">
        <v>28889083</v>
      </c>
      <c r="J254" s="224">
        <v>40641004</v>
      </c>
      <c r="K254" s="224">
        <v>13654851</v>
      </c>
      <c r="L254" s="223">
        <v>566721</v>
      </c>
      <c r="M254" s="223">
        <v>72912</v>
      </c>
      <c r="N254" s="221">
        <f t="shared" si="57"/>
        <v>566721322</v>
      </c>
      <c r="O254" s="221">
        <f t="shared" si="57"/>
        <v>72912115</v>
      </c>
      <c r="P254" s="239">
        <f t="shared" si="69"/>
        <v>0</v>
      </c>
    </row>
    <row r="255" spans="1:16" ht="11.25">
      <c r="A255" s="182">
        <v>242529</v>
      </c>
      <c r="B255" s="93" t="s">
        <v>936</v>
      </c>
      <c r="C255" s="184">
        <v>0</v>
      </c>
      <c r="D255" s="188">
        <v>185134</v>
      </c>
      <c r="E255" s="190">
        <v>0</v>
      </c>
      <c r="F255" s="224"/>
      <c r="G255" s="224"/>
      <c r="H255" s="224"/>
      <c r="I255" s="224"/>
      <c r="J255" s="224"/>
      <c r="K255" s="224"/>
      <c r="L255" s="223">
        <v>0</v>
      </c>
      <c r="M255" s="223">
        <v>0</v>
      </c>
      <c r="N255" s="221">
        <f t="shared" si="57"/>
        <v>0</v>
      </c>
      <c r="O255" s="221">
        <f t="shared" si="57"/>
        <v>0</v>
      </c>
      <c r="P255" s="239">
        <f t="shared" si="69"/>
        <v>0</v>
      </c>
    </row>
    <row r="256" spans="1:16" ht="11.25">
      <c r="A256" s="182">
        <v>242532</v>
      </c>
      <c r="B256" s="93" t="s">
        <v>937</v>
      </c>
      <c r="C256" s="184">
        <v>1937</v>
      </c>
      <c r="D256" s="188">
        <v>-1735486</v>
      </c>
      <c r="E256" s="190">
        <v>0</v>
      </c>
      <c r="F256" s="224">
        <v>3493306</v>
      </c>
      <c r="G256" s="224">
        <v>3565800</v>
      </c>
      <c r="H256" s="224">
        <v>3570700</v>
      </c>
      <c r="I256" s="224">
        <v>3557200</v>
      </c>
      <c r="J256" s="224">
        <v>6849300</v>
      </c>
      <c r="K256" s="224">
        <v>4852820</v>
      </c>
      <c r="L256" s="223">
        <v>13913</v>
      </c>
      <c r="M256" s="223">
        <v>11976</v>
      </c>
      <c r="N256" s="221">
        <f t="shared" si="57"/>
        <v>13913306</v>
      </c>
      <c r="O256" s="221">
        <f t="shared" si="57"/>
        <v>11975820</v>
      </c>
      <c r="P256" s="239">
        <f t="shared" si="69"/>
        <v>0</v>
      </c>
    </row>
    <row r="257" spans="1:16" ht="11.25">
      <c r="A257" s="182">
        <v>242533</v>
      </c>
      <c r="B257" s="93" t="s">
        <v>938</v>
      </c>
      <c r="C257" s="184">
        <v>0</v>
      </c>
      <c r="D257" s="188">
        <v>0</v>
      </c>
      <c r="E257" s="190">
        <v>0</v>
      </c>
      <c r="F257" s="224"/>
      <c r="G257" s="224"/>
      <c r="H257" s="224"/>
      <c r="I257" s="224"/>
      <c r="J257" s="224"/>
      <c r="K257" s="224"/>
      <c r="L257" s="223">
        <v>0</v>
      </c>
      <c r="M257" s="223">
        <v>0</v>
      </c>
      <c r="N257" s="221">
        <f t="shared" si="57"/>
        <v>0</v>
      </c>
      <c r="O257" s="221">
        <f t="shared" si="57"/>
        <v>0</v>
      </c>
      <c r="P257" s="239">
        <f t="shared" si="69"/>
        <v>0</v>
      </c>
    </row>
    <row r="258" spans="1:16" ht="11.25">
      <c r="A258" s="182">
        <v>242535</v>
      </c>
      <c r="B258" s="93" t="s">
        <v>939</v>
      </c>
      <c r="C258" s="184">
        <v>1025</v>
      </c>
      <c r="D258" s="188">
        <v>6103680</v>
      </c>
      <c r="E258" s="190">
        <v>0</v>
      </c>
      <c r="F258" s="224">
        <v>23622509</v>
      </c>
      <c r="G258" s="224">
        <v>22908967</v>
      </c>
      <c r="H258" s="224">
        <v>29025354</v>
      </c>
      <c r="I258" s="224">
        <v>29883400</v>
      </c>
      <c r="J258" s="224">
        <v>28430941</v>
      </c>
      <c r="K258" s="224">
        <v>27261129</v>
      </c>
      <c r="L258" s="223">
        <v>81079</v>
      </c>
      <c r="M258" s="223">
        <f>80053+1</f>
        <v>80054</v>
      </c>
      <c r="N258" s="221">
        <f t="shared" si="57"/>
        <v>81078804</v>
      </c>
      <c r="O258" s="221">
        <f t="shared" si="57"/>
        <v>80053496</v>
      </c>
      <c r="P258" s="239">
        <f t="shared" si="69"/>
        <v>0</v>
      </c>
    </row>
    <row r="259" spans="1:16" ht="11.25">
      <c r="A259" s="182">
        <v>242541</v>
      </c>
      <c r="B259" s="93" t="s">
        <v>940</v>
      </c>
      <c r="C259" s="184">
        <v>11120</v>
      </c>
      <c r="D259" s="188">
        <v>-11120029</v>
      </c>
      <c r="E259" s="190">
        <v>0</v>
      </c>
      <c r="F259" s="224">
        <v>11147185</v>
      </c>
      <c r="G259" s="224">
        <v>11088960</v>
      </c>
      <c r="H259" s="224">
        <v>11025470</v>
      </c>
      <c r="I259" s="224">
        <v>12454205</v>
      </c>
      <c r="J259" s="224">
        <v>35902754</v>
      </c>
      <c r="K259" s="224">
        <v>745089344.11</v>
      </c>
      <c r="L259" s="223">
        <v>58075</v>
      </c>
      <c r="M259" s="223">
        <v>768634</v>
      </c>
      <c r="N259" s="221">
        <f t="shared" si="57"/>
        <v>58075409</v>
      </c>
      <c r="O259" s="221">
        <f t="shared" si="57"/>
        <v>768632509.11</v>
      </c>
      <c r="P259" s="239">
        <f t="shared" si="69"/>
        <v>721679</v>
      </c>
    </row>
    <row r="260" spans="1:16" ht="11.25">
      <c r="A260" s="182">
        <v>242546</v>
      </c>
      <c r="B260" s="93" t="s">
        <v>941</v>
      </c>
      <c r="C260" s="184">
        <v>0</v>
      </c>
      <c r="D260" s="188">
        <v>4259936</v>
      </c>
      <c r="E260" s="190">
        <v>0</v>
      </c>
      <c r="F260" s="224">
        <v>4152500</v>
      </c>
      <c r="G260" s="224">
        <v>4152500</v>
      </c>
      <c r="H260" s="224">
        <v>5665660</v>
      </c>
      <c r="I260" s="224">
        <v>5665660</v>
      </c>
      <c r="J260" s="224">
        <v>3503280</v>
      </c>
      <c r="K260" s="224">
        <v>3503280</v>
      </c>
      <c r="L260" s="223">
        <v>13321</v>
      </c>
      <c r="M260" s="223">
        <v>13321</v>
      </c>
      <c r="N260" s="221">
        <f t="shared" si="57"/>
        <v>13321440</v>
      </c>
      <c r="O260" s="221">
        <f t="shared" si="57"/>
        <v>13321440</v>
      </c>
      <c r="P260" s="239">
        <f t="shared" si="69"/>
        <v>0</v>
      </c>
    </row>
    <row r="261" spans="1:16" ht="11.25">
      <c r="A261" s="182">
        <v>242590</v>
      </c>
      <c r="B261" s="93" t="s">
        <v>942</v>
      </c>
      <c r="C261" s="184">
        <v>3256</v>
      </c>
      <c r="D261" s="188">
        <v>-1276984</v>
      </c>
      <c r="E261" s="190">
        <v>0</v>
      </c>
      <c r="F261" s="224">
        <v>6131596</v>
      </c>
      <c r="G261" s="224">
        <v>3012041</v>
      </c>
      <c r="H261" s="224">
        <v>3330699</v>
      </c>
      <c r="I261" s="224">
        <v>3488405</v>
      </c>
      <c r="J261" s="224">
        <v>11212241</v>
      </c>
      <c r="K261" s="224">
        <v>10917962</v>
      </c>
      <c r="L261" s="223">
        <v>20675</v>
      </c>
      <c r="M261" s="223">
        <f>17418+1</f>
        <v>17419</v>
      </c>
      <c r="N261" s="221">
        <f t="shared" si="57"/>
        <v>20674536</v>
      </c>
      <c r="O261" s="221">
        <f t="shared" si="57"/>
        <v>17418408</v>
      </c>
      <c r="P261" s="239">
        <f t="shared" si="69"/>
        <v>0</v>
      </c>
    </row>
    <row r="262" spans="1:16" ht="11.25">
      <c r="A262" s="178">
        <v>243000</v>
      </c>
      <c r="B262" s="90" t="s">
        <v>943</v>
      </c>
      <c r="C262" s="225">
        <v>0</v>
      </c>
      <c r="D262" s="225">
        <v>0</v>
      </c>
      <c r="E262" s="225">
        <v>0</v>
      </c>
      <c r="F262" s="225">
        <v>0</v>
      </c>
      <c r="G262" s="225">
        <v>0</v>
      </c>
      <c r="H262" s="225">
        <v>0</v>
      </c>
      <c r="I262" s="225">
        <v>0</v>
      </c>
      <c r="J262" s="225">
        <v>0</v>
      </c>
      <c r="K262" s="225">
        <v>0</v>
      </c>
      <c r="L262" s="225">
        <v>0</v>
      </c>
      <c r="M262" s="225">
        <v>0</v>
      </c>
      <c r="N262" s="221">
        <f t="shared" si="57"/>
        <v>0</v>
      </c>
      <c r="O262" s="221">
        <f t="shared" si="57"/>
        <v>0</v>
      </c>
      <c r="P262" s="239">
        <v>0</v>
      </c>
    </row>
    <row r="263" spans="1:16" ht="11.25">
      <c r="A263" s="182">
        <v>243002</v>
      </c>
      <c r="B263" s="93" t="s">
        <v>944</v>
      </c>
      <c r="C263" s="184">
        <v>0</v>
      </c>
      <c r="D263" s="188">
        <v>0</v>
      </c>
      <c r="E263" s="190">
        <v>0</v>
      </c>
      <c r="F263" s="224"/>
      <c r="G263" s="224"/>
      <c r="H263" s="224"/>
      <c r="I263" s="224"/>
      <c r="J263" s="224"/>
      <c r="K263" s="224"/>
      <c r="L263" s="223">
        <v>0</v>
      </c>
      <c r="M263" s="223">
        <v>0</v>
      </c>
      <c r="N263" s="221">
        <f t="shared" si="57"/>
        <v>0</v>
      </c>
      <c r="O263" s="221">
        <f t="shared" si="57"/>
        <v>0</v>
      </c>
      <c r="P263" s="239">
        <f>+C263+M263-L263</f>
        <v>0</v>
      </c>
    </row>
    <row r="264" spans="1:16" ht="11.25">
      <c r="A264" s="178">
        <v>243600</v>
      </c>
      <c r="B264" s="90" t="s">
        <v>945</v>
      </c>
      <c r="C264" s="220">
        <f aca="true" t="shared" si="70" ref="C264:M264">SUM(C265:C274)</f>
        <v>845870</v>
      </c>
      <c r="D264" s="220">
        <f t="shared" si="70"/>
        <v>-402989714</v>
      </c>
      <c r="E264" s="220">
        <f t="shared" si="70"/>
        <v>0</v>
      </c>
      <c r="F264" s="220">
        <f t="shared" si="70"/>
        <v>565109803</v>
      </c>
      <c r="G264" s="220">
        <f t="shared" si="70"/>
        <v>215834894.89</v>
      </c>
      <c r="H264" s="220">
        <f t="shared" si="70"/>
        <v>1174311925.6399999</v>
      </c>
      <c r="I264" s="220">
        <f t="shared" si="70"/>
        <v>1195724825.6399999</v>
      </c>
      <c r="J264" s="220">
        <f t="shared" si="70"/>
        <v>649475854.5600001</v>
      </c>
      <c r="K264" s="220">
        <f t="shared" si="70"/>
        <v>960918035.5</v>
      </c>
      <c r="L264" s="220">
        <f t="shared" si="70"/>
        <v>2388900</v>
      </c>
      <c r="M264" s="220">
        <f t="shared" si="70"/>
        <v>2372479</v>
      </c>
      <c r="N264" s="221">
        <f t="shared" si="57"/>
        <v>2388897583.2</v>
      </c>
      <c r="O264" s="221">
        <f t="shared" si="57"/>
        <v>2372477756.0299997</v>
      </c>
      <c r="P264" s="238">
        <f>SUM(P265:P274)</f>
        <v>829449</v>
      </c>
    </row>
    <row r="265" spans="1:16" ht="11.25">
      <c r="A265" s="182">
        <v>243601</v>
      </c>
      <c r="B265" s="93" t="s">
        <v>946</v>
      </c>
      <c r="C265" s="184">
        <v>46278</v>
      </c>
      <c r="D265" s="188">
        <v>-4648827</v>
      </c>
      <c r="E265" s="190">
        <v>0</v>
      </c>
      <c r="F265" s="224">
        <v>26356806</v>
      </c>
      <c r="G265" s="224">
        <v>21524087</v>
      </c>
      <c r="H265" s="224">
        <v>104416027</v>
      </c>
      <c r="I265" s="224">
        <v>112402110</v>
      </c>
      <c r="J265" s="224">
        <v>49432053</v>
      </c>
      <c r="K265" s="224">
        <v>59443320</v>
      </c>
      <c r="L265" s="223">
        <v>180205</v>
      </c>
      <c r="M265" s="223">
        <v>193370</v>
      </c>
      <c r="N265" s="221">
        <f t="shared" si="57"/>
        <v>180204886</v>
      </c>
      <c r="O265" s="221">
        <f t="shared" si="57"/>
        <v>193369517</v>
      </c>
      <c r="P265" s="239">
        <f aca="true" t="shared" si="71" ref="P265:P274">+C265+M265-L265</f>
        <v>59443</v>
      </c>
    </row>
    <row r="266" spans="1:16" ht="11.25">
      <c r="A266" s="182">
        <v>243602</v>
      </c>
      <c r="B266" s="93" t="s">
        <v>947</v>
      </c>
      <c r="C266" s="184">
        <v>0</v>
      </c>
      <c r="D266" s="188">
        <v>0</v>
      </c>
      <c r="E266" s="190">
        <v>0</v>
      </c>
      <c r="F266" s="224"/>
      <c r="G266" s="224"/>
      <c r="H266" s="224"/>
      <c r="I266" s="224"/>
      <c r="J266" s="224"/>
      <c r="K266" s="224"/>
      <c r="L266" s="223">
        <v>0</v>
      </c>
      <c r="M266" s="223">
        <v>0</v>
      </c>
      <c r="N266" s="221">
        <f t="shared" si="57"/>
        <v>0</v>
      </c>
      <c r="O266" s="221">
        <f t="shared" si="57"/>
        <v>0</v>
      </c>
      <c r="P266" s="239">
        <f t="shared" si="71"/>
        <v>0</v>
      </c>
    </row>
    <row r="267" spans="1:16" ht="11.25">
      <c r="A267" s="182">
        <v>243603</v>
      </c>
      <c r="B267" s="93" t="s">
        <v>948</v>
      </c>
      <c r="C267" s="184">
        <v>162146</v>
      </c>
      <c r="D267" s="188">
        <v>-31906813</v>
      </c>
      <c r="E267" s="190">
        <v>0</v>
      </c>
      <c r="F267" s="224">
        <v>74525377</v>
      </c>
      <c r="G267" s="224">
        <v>53347356</v>
      </c>
      <c r="H267" s="224">
        <v>330758534.72</v>
      </c>
      <c r="I267" s="224">
        <v>310543702.72</v>
      </c>
      <c r="J267" s="224">
        <v>166490557.08000004</v>
      </c>
      <c r="K267" s="224">
        <v>297457917.72</v>
      </c>
      <c r="L267" s="223">
        <f>571774+1</f>
        <v>571775</v>
      </c>
      <c r="M267" s="223">
        <v>661349</v>
      </c>
      <c r="N267" s="221">
        <f aca="true" t="shared" si="72" ref="N267:O330">+F267+H267+J267</f>
        <v>571774468.8000001</v>
      </c>
      <c r="O267" s="221">
        <f t="shared" si="72"/>
        <v>661348976.44</v>
      </c>
      <c r="P267" s="239">
        <f t="shared" si="71"/>
        <v>251720</v>
      </c>
    </row>
    <row r="268" spans="1:16" ht="11.25">
      <c r="A268" s="182">
        <v>243604</v>
      </c>
      <c r="B268" s="93" t="s">
        <v>949</v>
      </c>
      <c r="C268" s="184">
        <v>0</v>
      </c>
      <c r="D268" s="188">
        <v>0</v>
      </c>
      <c r="E268" s="190">
        <v>0</v>
      </c>
      <c r="F268" s="224"/>
      <c r="G268" s="224"/>
      <c r="H268" s="224"/>
      <c r="I268" s="224"/>
      <c r="J268" s="224"/>
      <c r="K268" s="224"/>
      <c r="L268" s="223">
        <v>0</v>
      </c>
      <c r="M268" s="223">
        <v>0</v>
      </c>
      <c r="N268" s="221">
        <f t="shared" si="72"/>
        <v>0</v>
      </c>
      <c r="O268" s="221">
        <f t="shared" si="72"/>
        <v>0</v>
      </c>
      <c r="P268" s="239">
        <f t="shared" si="71"/>
        <v>0</v>
      </c>
    </row>
    <row r="269" spans="1:16" ht="11.25">
      <c r="A269" s="182">
        <v>243605</v>
      </c>
      <c r="B269" s="93" t="s">
        <v>849</v>
      </c>
      <c r="C269" s="184">
        <v>207309</v>
      </c>
      <c r="D269" s="188">
        <v>-143085342</v>
      </c>
      <c r="E269" s="190">
        <v>0</v>
      </c>
      <c r="F269" s="224">
        <v>151009034</v>
      </c>
      <c r="G269" s="224">
        <v>18447597</v>
      </c>
      <c r="H269" s="224">
        <v>174311217</v>
      </c>
      <c r="I269" s="224">
        <v>182573222</v>
      </c>
      <c r="J269" s="224">
        <v>106576113.84</v>
      </c>
      <c r="K269" s="224">
        <v>97265597.84</v>
      </c>
      <c r="L269" s="223">
        <v>431896</v>
      </c>
      <c r="M269" s="223">
        <v>298286</v>
      </c>
      <c r="N269" s="221">
        <f t="shared" si="72"/>
        <v>431896364.84000003</v>
      </c>
      <c r="O269" s="221">
        <f t="shared" si="72"/>
        <v>298286416.84000003</v>
      </c>
      <c r="P269" s="239">
        <f t="shared" si="71"/>
        <v>73699</v>
      </c>
    </row>
    <row r="270" spans="1:16" ht="11.25">
      <c r="A270" s="182">
        <v>243607</v>
      </c>
      <c r="B270" s="93" t="s">
        <v>950</v>
      </c>
      <c r="C270" s="184">
        <v>0</v>
      </c>
      <c r="D270" s="188">
        <v>0</v>
      </c>
      <c r="E270" s="190">
        <v>0</v>
      </c>
      <c r="F270" s="224"/>
      <c r="G270" s="224"/>
      <c r="H270" s="224"/>
      <c r="I270" s="224"/>
      <c r="J270" s="224">
        <v>0</v>
      </c>
      <c r="K270" s="224">
        <v>752859</v>
      </c>
      <c r="L270" s="223">
        <v>0</v>
      </c>
      <c r="M270" s="223">
        <v>753</v>
      </c>
      <c r="N270" s="221">
        <f t="shared" si="72"/>
        <v>0</v>
      </c>
      <c r="O270" s="221">
        <f t="shared" si="72"/>
        <v>752859</v>
      </c>
      <c r="P270" s="239">
        <f t="shared" si="71"/>
        <v>753</v>
      </c>
    </row>
    <row r="271" spans="1:16" ht="11.25">
      <c r="A271" s="182">
        <v>243608</v>
      </c>
      <c r="B271" s="93" t="s">
        <v>951</v>
      </c>
      <c r="C271" s="184">
        <v>2931</v>
      </c>
      <c r="D271" s="188">
        <v>1934856</v>
      </c>
      <c r="E271" s="190">
        <v>0</v>
      </c>
      <c r="F271" s="224">
        <v>2372436</v>
      </c>
      <c r="G271" s="224">
        <v>309456</v>
      </c>
      <c r="H271" s="224">
        <v>1737800</v>
      </c>
      <c r="I271" s="224">
        <v>2605577</v>
      </c>
      <c r="J271" s="224">
        <v>1040213</v>
      </c>
      <c r="K271" s="224">
        <v>9390280</v>
      </c>
      <c r="L271" s="223">
        <v>5150</v>
      </c>
      <c r="M271" s="223">
        <f>12305+1</f>
        <v>12306</v>
      </c>
      <c r="N271" s="221">
        <f t="shared" si="72"/>
        <v>5150449</v>
      </c>
      <c r="O271" s="221">
        <f t="shared" si="72"/>
        <v>12305313</v>
      </c>
      <c r="P271" s="239">
        <f t="shared" si="71"/>
        <v>10087</v>
      </c>
    </row>
    <row r="272" spans="1:16" ht="11.25">
      <c r="A272" s="182">
        <v>243610</v>
      </c>
      <c r="B272" s="93" t="s">
        <v>952</v>
      </c>
      <c r="C272" s="184">
        <v>0</v>
      </c>
      <c r="D272" s="188">
        <v>0</v>
      </c>
      <c r="E272" s="190">
        <v>0</v>
      </c>
      <c r="F272" s="224"/>
      <c r="G272" s="224"/>
      <c r="H272" s="224"/>
      <c r="I272" s="224"/>
      <c r="J272" s="224"/>
      <c r="K272" s="224"/>
      <c r="L272" s="223">
        <v>0</v>
      </c>
      <c r="M272" s="223">
        <v>0</v>
      </c>
      <c r="N272" s="221">
        <f t="shared" si="72"/>
        <v>0</v>
      </c>
      <c r="O272" s="221">
        <f t="shared" si="72"/>
        <v>0</v>
      </c>
      <c r="P272" s="239">
        <f t="shared" si="71"/>
        <v>0</v>
      </c>
    </row>
    <row r="273" spans="1:16" ht="11.25">
      <c r="A273" s="182">
        <v>243625</v>
      </c>
      <c r="B273" s="93" t="s">
        <v>953</v>
      </c>
      <c r="C273" s="184">
        <v>423529</v>
      </c>
      <c r="D273" s="188">
        <v>-227216843</v>
      </c>
      <c r="E273" s="190">
        <v>0</v>
      </c>
      <c r="F273" s="224">
        <v>256439723</v>
      </c>
      <c r="G273" s="224">
        <v>71475578</v>
      </c>
      <c r="H273" s="224">
        <v>553125893.92</v>
      </c>
      <c r="I273" s="224">
        <v>545188335.92</v>
      </c>
      <c r="J273" s="224">
        <v>242143466.88000003</v>
      </c>
      <c r="K273" s="224">
        <v>350784149.91999996</v>
      </c>
      <c r="L273" s="223">
        <f>1051709+1</f>
        <v>1051710</v>
      </c>
      <c r="M273" s="223">
        <v>967448</v>
      </c>
      <c r="N273" s="221">
        <f t="shared" si="72"/>
        <v>1051709083.8</v>
      </c>
      <c r="O273" s="221">
        <f t="shared" si="72"/>
        <v>967448063.8399999</v>
      </c>
      <c r="P273" s="239">
        <f t="shared" si="71"/>
        <v>339267</v>
      </c>
    </row>
    <row r="274" spans="1:16" ht="11.25">
      <c r="A274" s="182">
        <v>243698</v>
      </c>
      <c r="B274" s="93" t="s">
        <v>954</v>
      </c>
      <c r="C274" s="184">
        <v>3677</v>
      </c>
      <c r="D274" s="188">
        <v>1933255</v>
      </c>
      <c r="E274" s="190">
        <v>0</v>
      </c>
      <c r="F274" s="224">
        <v>54406427</v>
      </c>
      <c r="G274" s="224">
        <v>50730820.89</v>
      </c>
      <c r="H274" s="224">
        <v>9962453</v>
      </c>
      <c r="I274" s="224">
        <v>42411878</v>
      </c>
      <c r="J274" s="224">
        <v>83793450.76</v>
      </c>
      <c r="K274" s="224">
        <v>145823911.02</v>
      </c>
      <c r="L274" s="223">
        <f>148162+2</f>
        <v>148164</v>
      </c>
      <c r="M274" s="223">
        <v>238967</v>
      </c>
      <c r="N274" s="221">
        <f t="shared" si="72"/>
        <v>148162330.76</v>
      </c>
      <c r="O274" s="221">
        <f t="shared" si="72"/>
        <v>238966609.91000003</v>
      </c>
      <c r="P274" s="239">
        <f t="shared" si="71"/>
        <v>94480</v>
      </c>
    </row>
    <row r="275" spans="1:16" ht="22.5">
      <c r="A275" s="178">
        <v>243700</v>
      </c>
      <c r="B275" s="90" t="s">
        <v>955</v>
      </c>
      <c r="C275" s="220">
        <f aca="true" t="shared" si="73" ref="C275:M275">C276</f>
        <v>69214</v>
      </c>
      <c r="D275" s="220">
        <f t="shared" si="73"/>
        <v>-28826554</v>
      </c>
      <c r="E275" s="220">
        <f t="shared" si="73"/>
        <v>0</v>
      </c>
      <c r="F275" s="220">
        <f t="shared" si="73"/>
        <v>12740673</v>
      </c>
      <c r="G275" s="220">
        <f t="shared" si="73"/>
        <v>10633002</v>
      </c>
      <c r="H275" s="220">
        <f t="shared" si="73"/>
        <v>167638748.92</v>
      </c>
      <c r="I275" s="220">
        <f t="shared" si="73"/>
        <v>146868459.92</v>
      </c>
      <c r="J275" s="220">
        <f t="shared" si="73"/>
        <v>115862820.91999999</v>
      </c>
      <c r="K275" s="220">
        <f t="shared" si="73"/>
        <v>129114861.46</v>
      </c>
      <c r="L275" s="220">
        <f t="shared" si="73"/>
        <v>296242</v>
      </c>
      <c r="M275" s="220">
        <f t="shared" si="73"/>
        <v>286616</v>
      </c>
      <c r="N275" s="221">
        <f t="shared" si="72"/>
        <v>296242242.84</v>
      </c>
      <c r="O275" s="221">
        <f t="shared" si="72"/>
        <v>286616323.38</v>
      </c>
      <c r="P275" s="238">
        <f>P276</f>
        <v>59588</v>
      </c>
    </row>
    <row r="276" spans="1:16" ht="11.25">
      <c r="A276" s="182">
        <v>243701</v>
      </c>
      <c r="B276" s="93" t="s">
        <v>956</v>
      </c>
      <c r="C276" s="184">
        <v>69214</v>
      </c>
      <c r="D276" s="188">
        <v>-28826554</v>
      </c>
      <c r="E276" s="190">
        <v>0</v>
      </c>
      <c r="F276" s="224">
        <v>12740673</v>
      </c>
      <c r="G276" s="224">
        <v>10633002</v>
      </c>
      <c r="H276" s="224">
        <v>167638748.92</v>
      </c>
      <c r="I276" s="224">
        <v>146868459.92</v>
      </c>
      <c r="J276" s="224">
        <v>115862820.91999999</v>
      </c>
      <c r="K276" s="224">
        <v>129114861.46</v>
      </c>
      <c r="L276" s="223">
        <v>296242</v>
      </c>
      <c r="M276" s="223">
        <v>286616</v>
      </c>
      <c r="N276" s="221">
        <f t="shared" si="72"/>
        <v>296242242.84</v>
      </c>
      <c r="O276" s="221">
        <f t="shared" si="72"/>
        <v>286616323.38</v>
      </c>
      <c r="P276" s="239">
        <f>+C276+M276-L276</f>
        <v>59588</v>
      </c>
    </row>
    <row r="277" spans="1:16" ht="11.25">
      <c r="A277" s="178">
        <v>244000</v>
      </c>
      <c r="B277" s="90" t="s">
        <v>957</v>
      </c>
      <c r="C277" s="220">
        <f aca="true" t="shared" si="74" ref="C277:M277">SUM(C278:C282)</f>
        <v>609556</v>
      </c>
      <c r="D277" s="220">
        <f t="shared" si="74"/>
        <v>421206533</v>
      </c>
      <c r="E277" s="220">
        <f t="shared" si="74"/>
        <v>0</v>
      </c>
      <c r="F277" s="220">
        <f t="shared" si="74"/>
        <v>2395162638</v>
      </c>
      <c r="G277" s="220">
        <f t="shared" si="74"/>
        <v>1861606184</v>
      </c>
      <c r="H277" s="220">
        <f t="shared" si="74"/>
        <v>1855606184</v>
      </c>
      <c r="I277" s="220">
        <f t="shared" si="74"/>
        <v>4555606187</v>
      </c>
      <c r="J277" s="220">
        <f t="shared" si="74"/>
        <v>7174443928</v>
      </c>
      <c r="K277" s="220">
        <f t="shared" si="74"/>
        <v>4582867465</v>
      </c>
      <c r="L277" s="220">
        <f t="shared" si="74"/>
        <v>11425213</v>
      </c>
      <c r="M277" s="220">
        <f t="shared" si="74"/>
        <v>11000080</v>
      </c>
      <c r="N277" s="221">
        <f t="shared" si="72"/>
        <v>11425212750</v>
      </c>
      <c r="O277" s="221">
        <f t="shared" si="72"/>
        <v>11000079836</v>
      </c>
      <c r="P277" s="238">
        <f>SUM(P278:P282)</f>
        <v>184423</v>
      </c>
    </row>
    <row r="278" spans="1:16" ht="11.25">
      <c r="A278" s="182">
        <v>244003</v>
      </c>
      <c r="B278" s="93" t="s">
        <v>958</v>
      </c>
      <c r="C278" s="184">
        <v>0</v>
      </c>
      <c r="D278" s="188">
        <v>0</v>
      </c>
      <c r="E278" s="190">
        <v>0</v>
      </c>
      <c r="F278" s="224"/>
      <c r="G278" s="224"/>
      <c r="H278" s="224"/>
      <c r="I278" s="224"/>
      <c r="J278" s="224">
        <v>0</v>
      </c>
      <c r="K278" s="224">
        <v>92049322</v>
      </c>
      <c r="L278" s="223">
        <v>0</v>
      </c>
      <c r="M278" s="223">
        <v>92049</v>
      </c>
      <c r="N278" s="221">
        <f t="shared" si="72"/>
        <v>0</v>
      </c>
      <c r="O278" s="221">
        <f t="shared" si="72"/>
        <v>92049322</v>
      </c>
      <c r="P278" s="239">
        <f>+C278+M278-L278</f>
        <v>92049</v>
      </c>
    </row>
    <row r="279" spans="1:16" ht="11.25">
      <c r="A279" s="182">
        <v>244005</v>
      </c>
      <c r="B279" s="93" t="s">
        <v>959</v>
      </c>
      <c r="C279" s="184">
        <v>0</v>
      </c>
      <c r="D279" s="188">
        <v>0</v>
      </c>
      <c r="E279" s="190">
        <v>0</v>
      </c>
      <c r="F279" s="224"/>
      <c r="G279" s="224"/>
      <c r="H279" s="224"/>
      <c r="I279" s="224"/>
      <c r="J279" s="224"/>
      <c r="K279" s="224"/>
      <c r="L279" s="223">
        <v>0</v>
      </c>
      <c r="M279" s="223">
        <v>0</v>
      </c>
      <c r="N279" s="221">
        <f t="shared" si="72"/>
        <v>0</v>
      </c>
      <c r="O279" s="221">
        <f t="shared" si="72"/>
        <v>0</v>
      </c>
      <c r="P279" s="239">
        <f>+C279+M279-L279</f>
        <v>0</v>
      </c>
    </row>
    <row r="280" spans="1:16" ht="11.25">
      <c r="A280" s="182">
        <v>244011</v>
      </c>
      <c r="B280" s="93" t="s">
        <v>960</v>
      </c>
      <c r="C280" s="184">
        <v>609556</v>
      </c>
      <c r="D280" s="188">
        <v>421206533</v>
      </c>
      <c r="E280" s="190">
        <v>0</v>
      </c>
      <c r="F280" s="224">
        <v>2395162638</v>
      </c>
      <c r="G280" s="224">
        <v>1861606184</v>
      </c>
      <c r="H280" s="224">
        <v>1855606184</v>
      </c>
      <c r="I280" s="224">
        <v>4555606187</v>
      </c>
      <c r="J280" s="224">
        <v>7174143928</v>
      </c>
      <c r="K280" s="224">
        <v>4490518143</v>
      </c>
      <c r="L280" s="223">
        <v>11424913</v>
      </c>
      <c r="M280" s="223">
        <v>10907731</v>
      </c>
      <c r="N280" s="221">
        <f t="shared" si="72"/>
        <v>11424912750</v>
      </c>
      <c r="O280" s="221">
        <f t="shared" si="72"/>
        <v>10907730514</v>
      </c>
      <c r="P280" s="239">
        <f>+C280+M280-L280</f>
        <v>92374</v>
      </c>
    </row>
    <row r="281" spans="1:16" ht="11.25">
      <c r="A281" s="182">
        <v>244016</v>
      </c>
      <c r="B281" s="93" t="s">
        <v>961</v>
      </c>
      <c r="C281" s="184">
        <v>0</v>
      </c>
      <c r="D281" s="188">
        <v>0</v>
      </c>
      <c r="E281" s="190">
        <v>0</v>
      </c>
      <c r="F281" s="224"/>
      <c r="G281" s="224"/>
      <c r="H281" s="224"/>
      <c r="I281" s="224"/>
      <c r="J281" s="224"/>
      <c r="K281" s="224"/>
      <c r="L281" s="223">
        <v>0</v>
      </c>
      <c r="M281" s="223">
        <v>0</v>
      </c>
      <c r="N281" s="221">
        <f t="shared" si="72"/>
        <v>0</v>
      </c>
      <c r="O281" s="221">
        <f t="shared" si="72"/>
        <v>0</v>
      </c>
      <c r="P281" s="239">
        <f>+C281+M281-L281</f>
        <v>0</v>
      </c>
    </row>
    <row r="282" spans="1:16" ht="11.25">
      <c r="A282" s="182">
        <v>244095</v>
      </c>
      <c r="B282" s="93" t="s">
        <v>962</v>
      </c>
      <c r="C282" s="184">
        <v>0</v>
      </c>
      <c r="D282" s="188">
        <v>0</v>
      </c>
      <c r="E282" s="190">
        <v>0</v>
      </c>
      <c r="F282" s="224"/>
      <c r="G282" s="224"/>
      <c r="H282" s="224"/>
      <c r="I282" s="224"/>
      <c r="J282" s="224">
        <v>300000</v>
      </c>
      <c r="K282" s="224">
        <v>300000</v>
      </c>
      <c r="L282" s="223">
        <v>300</v>
      </c>
      <c r="M282" s="223">
        <v>300</v>
      </c>
      <c r="N282" s="221">
        <f t="shared" si="72"/>
        <v>300000</v>
      </c>
      <c r="O282" s="221">
        <f t="shared" si="72"/>
        <v>300000</v>
      </c>
      <c r="P282" s="239">
        <f>+C282+M282-L282</f>
        <v>0</v>
      </c>
    </row>
    <row r="283" spans="1:16" ht="11.25">
      <c r="A283" s="178">
        <v>245500</v>
      </c>
      <c r="B283" s="90" t="s">
        <v>963</v>
      </c>
      <c r="C283" s="220">
        <f aca="true" t="shared" si="75" ref="C283:M283">SUM(C284:C285)</f>
        <v>0</v>
      </c>
      <c r="D283" s="220">
        <f t="shared" si="75"/>
        <v>62788342.92</v>
      </c>
      <c r="E283" s="220">
        <f t="shared" si="75"/>
        <v>0</v>
      </c>
      <c r="F283" s="220">
        <f t="shared" si="75"/>
        <v>0</v>
      </c>
      <c r="G283" s="220">
        <f t="shared" si="75"/>
        <v>0</v>
      </c>
      <c r="H283" s="220">
        <f t="shared" si="75"/>
        <v>0</v>
      </c>
      <c r="I283" s="220">
        <f t="shared" si="75"/>
        <v>0</v>
      </c>
      <c r="J283" s="220">
        <f t="shared" si="75"/>
        <v>0</v>
      </c>
      <c r="K283" s="220">
        <f t="shared" si="75"/>
        <v>0</v>
      </c>
      <c r="L283" s="220">
        <f t="shared" si="75"/>
        <v>0</v>
      </c>
      <c r="M283" s="220">
        <f t="shared" si="75"/>
        <v>0</v>
      </c>
      <c r="N283" s="221">
        <f t="shared" si="72"/>
        <v>0</v>
      </c>
      <c r="O283" s="221">
        <f t="shared" si="72"/>
        <v>0</v>
      </c>
      <c r="P283" s="238">
        <f>SUM(P284:P285)</f>
        <v>0</v>
      </c>
    </row>
    <row r="284" spans="1:16" ht="11.25">
      <c r="A284" s="182">
        <v>245503</v>
      </c>
      <c r="B284" s="117" t="s">
        <v>964</v>
      </c>
      <c r="C284" s="184">
        <v>0</v>
      </c>
      <c r="D284" s="188">
        <v>0</v>
      </c>
      <c r="E284" s="190">
        <v>0</v>
      </c>
      <c r="F284" s="224"/>
      <c r="G284" s="224"/>
      <c r="H284" s="224"/>
      <c r="I284" s="224"/>
      <c r="J284" s="224"/>
      <c r="K284" s="224"/>
      <c r="L284" s="223">
        <v>0</v>
      </c>
      <c r="M284" s="223">
        <v>0</v>
      </c>
      <c r="N284" s="221">
        <f t="shared" si="72"/>
        <v>0</v>
      </c>
      <c r="O284" s="221">
        <f t="shared" si="72"/>
        <v>0</v>
      </c>
      <c r="P284" s="239">
        <f>+C284+M284-L284</f>
        <v>0</v>
      </c>
    </row>
    <row r="285" spans="1:16" ht="11.25">
      <c r="A285" s="182">
        <v>245506</v>
      </c>
      <c r="B285" s="117" t="s">
        <v>965</v>
      </c>
      <c r="C285" s="184">
        <v>0</v>
      </c>
      <c r="D285" s="188">
        <v>62788342.92</v>
      </c>
      <c r="E285" s="190">
        <v>0</v>
      </c>
      <c r="F285" s="224"/>
      <c r="G285" s="224"/>
      <c r="H285" s="224"/>
      <c r="I285" s="224"/>
      <c r="J285" s="224"/>
      <c r="K285" s="224"/>
      <c r="L285" s="223">
        <v>0</v>
      </c>
      <c r="M285" s="223">
        <v>0</v>
      </c>
      <c r="N285" s="221">
        <f t="shared" si="72"/>
        <v>0</v>
      </c>
      <c r="O285" s="221">
        <f t="shared" si="72"/>
        <v>0</v>
      </c>
      <c r="P285" s="239">
        <f>+C285+M285-L285</f>
        <v>0</v>
      </c>
    </row>
    <row r="286" spans="1:16" ht="11.25">
      <c r="A286" s="178">
        <v>246000</v>
      </c>
      <c r="B286" s="90" t="s">
        <v>966</v>
      </c>
      <c r="C286" s="220">
        <f aca="true" t="shared" si="76" ref="C286:M286">SUM(C287:C288)</f>
        <v>5076</v>
      </c>
      <c r="D286" s="220">
        <f t="shared" si="76"/>
        <v>0</v>
      </c>
      <c r="E286" s="220">
        <f t="shared" si="76"/>
        <v>0</v>
      </c>
      <c r="F286" s="220">
        <f t="shared" si="76"/>
        <v>102707351.85</v>
      </c>
      <c r="G286" s="220">
        <f t="shared" si="76"/>
        <v>104399351.85</v>
      </c>
      <c r="H286" s="220">
        <f t="shared" si="76"/>
        <v>22599745</v>
      </c>
      <c r="I286" s="220">
        <f t="shared" si="76"/>
        <v>17524099</v>
      </c>
      <c r="J286" s="220">
        <f t="shared" si="76"/>
        <v>19373051248.49</v>
      </c>
      <c r="K286" s="220">
        <f t="shared" si="76"/>
        <v>19415587840.01</v>
      </c>
      <c r="L286" s="220">
        <f t="shared" si="76"/>
        <v>19498358</v>
      </c>
      <c r="M286" s="220">
        <f t="shared" si="76"/>
        <v>19537511</v>
      </c>
      <c r="N286" s="221">
        <f t="shared" si="72"/>
        <v>19498358345.34</v>
      </c>
      <c r="O286" s="221">
        <f t="shared" si="72"/>
        <v>19537511290.859997</v>
      </c>
      <c r="P286" s="238">
        <f>SUM(P287:P288)</f>
        <v>44229</v>
      </c>
    </row>
    <row r="287" spans="1:16" ht="11.25">
      <c r="A287" s="182">
        <v>246002</v>
      </c>
      <c r="B287" s="117" t="s">
        <v>947</v>
      </c>
      <c r="C287" s="184">
        <v>0</v>
      </c>
      <c r="D287" s="188">
        <v>0</v>
      </c>
      <c r="E287" s="190">
        <v>0</v>
      </c>
      <c r="F287" s="224">
        <v>102707351.85</v>
      </c>
      <c r="G287" s="224">
        <v>102707351.85</v>
      </c>
      <c r="H287" s="224">
        <v>15832453</v>
      </c>
      <c r="I287" s="224">
        <v>15832453</v>
      </c>
      <c r="J287" s="224">
        <v>19369222078.49</v>
      </c>
      <c r="K287" s="224">
        <v>19413451024.01</v>
      </c>
      <c r="L287" s="223">
        <v>19487762</v>
      </c>
      <c r="M287" s="223">
        <v>19531991</v>
      </c>
      <c r="N287" s="221">
        <f t="shared" si="72"/>
        <v>19487761883.34</v>
      </c>
      <c r="O287" s="221">
        <f t="shared" si="72"/>
        <v>19531990828.859997</v>
      </c>
      <c r="P287" s="239">
        <f>+C287+M287-L287</f>
        <v>44229</v>
      </c>
    </row>
    <row r="288" spans="1:16" ht="11.25">
      <c r="A288" s="182">
        <v>249015</v>
      </c>
      <c r="B288" s="117"/>
      <c r="C288" s="184">
        <v>5076</v>
      </c>
      <c r="D288" s="188"/>
      <c r="E288" s="190"/>
      <c r="F288" s="224">
        <v>0</v>
      </c>
      <c r="G288" s="224">
        <v>1692000</v>
      </c>
      <c r="H288" s="224">
        <v>6767292</v>
      </c>
      <c r="I288" s="224">
        <v>1691646</v>
      </c>
      <c r="J288" s="224">
        <v>3829170</v>
      </c>
      <c r="K288" s="224">
        <v>2136816</v>
      </c>
      <c r="L288" s="223">
        <v>10596</v>
      </c>
      <c r="M288" s="223">
        <v>5520</v>
      </c>
      <c r="N288" s="221">
        <f t="shared" si="72"/>
        <v>10596462</v>
      </c>
      <c r="O288" s="221">
        <f t="shared" si="72"/>
        <v>5520462</v>
      </c>
      <c r="P288" s="239">
        <f>+C288+M288-L288</f>
        <v>0</v>
      </c>
    </row>
    <row r="289" spans="1:16" ht="11.25">
      <c r="A289" s="178">
        <v>250000</v>
      </c>
      <c r="B289" s="116" t="s">
        <v>967</v>
      </c>
      <c r="C289" s="220">
        <f aca="true" t="shared" si="77" ref="C289:M289">C290</f>
        <v>80052</v>
      </c>
      <c r="D289" s="220">
        <f t="shared" si="77"/>
        <v>274122602.45</v>
      </c>
      <c r="E289" s="220">
        <f t="shared" si="77"/>
        <v>0</v>
      </c>
      <c r="F289" s="220">
        <f t="shared" si="77"/>
        <v>933551770</v>
      </c>
      <c r="G289" s="220">
        <f t="shared" si="77"/>
        <v>965463324</v>
      </c>
      <c r="H289" s="220">
        <f t="shared" si="77"/>
        <v>1422221374</v>
      </c>
      <c r="I289" s="220">
        <f t="shared" si="77"/>
        <v>1352490036</v>
      </c>
      <c r="J289" s="220">
        <f t="shared" si="77"/>
        <v>2425084644</v>
      </c>
      <c r="K289" s="220">
        <f t="shared" si="77"/>
        <v>3304798009.24</v>
      </c>
      <c r="L289" s="220">
        <f t="shared" si="77"/>
        <v>4780856</v>
      </c>
      <c r="M289" s="220">
        <f t="shared" si="77"/>
        <v>5622751</v>
      </c>
      <c r="N289" s="221">
        <f t="shared" si="72"/>
        <v>4780857788</v>
      </c>
      <c r="O289" s="221">
        <f t="shared" si="72"/>
        <v>5622751369.24</v>
      </c>
      <c r="P289" s="238">
        <f>P290</f>
        <v>921947</v>
      </c>
    </row>
    <row r="290" spans="1:16" ht="11.25">
      <c r="A290" s="178">
        <v>250500</v>
      </c>
      <c r="B290" s="116" t="s">
        <v>968</v>
      </c>
      <c r="C290" s="220">
        <f aca="true" t="shared" si="78" ref="C290:M290">SUM(C291:C297)</f>
        <v>80052</v>
      </c>
      <c r="D290" s="220">
        <f t="shared" si="78"/>
        <v>274122602.45</v>
      </c>
      <c r="E290" s="220">
        <f t="shared" si="78"/>
        <v>0</v>
      </c>
      <c r="F290" s="220">
        <f t="shared" si="78"/>
        <v>933551770</v>
      </c>
      <c r="G290" s="220">
        <f t="shared" si="78"/>
        <v>965463324</v>
      </c>
      <c r="H290" s="220">
        <f t="shared" si="78"/>
        <v>1422221374</v>
      </c>
      <c r="I290" s="220">
        <f t="shared" si="78"/>
        <v>1352490036</v>
      </c>
      <c r="J290" s="220">
        <f t="shared" si="78"/>
        <v>2425084644</v>
      </c>
      <c r="K290" s="220">
        <f t="shared" si="78"/>
        <v>3304798009.24</v>
      </c>
      <c r="L290" s="220">
        <f t="shared" si="78"/>
        <v>4780856</v>
      </c>
      <c r="M290" s="220">
        <f t="shared" si="78"/>
        <v>5622751</v>
      </c>
      <c r="N290" s="221">
        <f t="shared" si="72"/>
        <v>4780857788</v>
      </c>
      <c r="O290" s="221">
        <f t="shared" si="72"/>
        <v>5622751369.24</v>
      </c>
      <c r="P290" s="238">
        <f>SUM(P291:P297)</f>
        <v>921947</v>
      </c>
    </row>
    <row r="291" spans="1:16" ht="11.25">
      <c r="A291" s="182">
        <v>250501</v>
      </c>
      <c r="B291" s="117" t="s">
        <v>969</v>
      </c>
      <c r="C291" s="184">
        <v>41935</v>
      </c>
      <c r="D291" s="188">
        <v>-8365659</v>
      </c>
      <c r="E291" s="190">
        <v>0</v>
      </c>
      <c r="F291" s="224">
        <v>879537830</v>
      </c>
      <c r="G291" s="224">
        <v>866146081</v>
      </c>
      <c r="H291" s="224">
        <v>1063991206</v>
      </c>
      <c r="I291" s="224">
        <v>1048862224</v>
      </c>
      <c r="J291" s="224">
        <v>1232746316</v>
      </c>
      <c r="K291" s="224">
        <v>1219331380</v>
      </c>
      <c r="L291" s="223">
        <v>3176275</v>
      </c>
      <c r="M291" s="223">
        <v>3134340</v>
      </c>
      <c r="N291" s="221">
        <f t="shared" si="72"/>
        <v>3176275352</v>
      </c>
      <c r="O291" s="221">
        <f t="shared" si="72"/>
        <v>3134339685</v>
      </c>
      <c r="P291" s="239">
        <f aca="true" t="shared" si="79" ref="P291:P297">+C291+M291-L291</f>
        <v>0</v>
      </c>
    </row>
    <row r="292" spans="1:16" ht="11.25">
      <c r="A292" s="182">
        <v>250502</v>
      </c>
      <c r="B292" s="117" t="s">
        <v>970</v>
      </c>
      <c r="C292" s="184">
        <v>89</v>
      </c>
      <c r="D292" s="188">
        <v>16956028</v>
      </c>
      <c r="E292" s="190">
        <v>0</v>
      </c>
      <c r="F292" s="224">
        <v>3882304</v>
      </c>
      <c r="G292" s="224">
        <v>63382304</v>
      </c>
      <c r="H292" s="224">
        <v>131270000</v>
      </c>
      <c r="I292" s="224">
        <v>76667644</v>
      </c>
      <c r="J292" s="224">
        <v>148765616</v>
      </c>
      <c r="K292" s="224">
        <v>180481093</v>
      </c>
      <c r="L292" s="223">
        <v>283918</v>
      </c>
      <c r="M292" s="223">
        <v>320531</v>
      </c>
      <c r="N292" s="221">
        <f t="shared" si="72"/>
        <v>283917920</v>
      </c>
      <c r="O292" s="221">
        <f t="shared" si="72"/>
        <v>320531041</v>
      </c>
      <c r="P292" s="239">
        <f t="shared" si="79"/>
        <v>36702</v>
      </c>
    </row>
    <row r="293" spans="1:16" ht="11.25">
      <c r="A293" s="182">
        <v>250504</v>
      </c>
      <c r="B293" s="117" t="s">
        <v>971</v>
      </c>
      <c r="C293" s="184">
        <v>36834</v>
      </c>
      <c r="D293" s="188">
        <v>108043862</v>
      </c>
      <c r="E293" s="190">
        <v>0</v>
      </c>
      <c r="F293" s="224">
        <v>13069927</v>
      </c>
      <c r="G293" s="224">
        <v>0</v>
      </c>
      <c r="H293" s="224">
        <v>104681647</v>
      </c>
      <c r="I293" s="224">
        <v>104681647</v>
      </c>
      <c r="J293" s="224">
        <v>180629712</v>
      </c>
      <c r="K293" s="224">
        <v>569022029.24</v>
      </c>
      <c r="L293" s="223">
        <v>298381</v>
      </c>
      <c r="M293" s="223">
        <v>673704</v>
      </c>
      <c r="N293" s="221">
        <f t="shared" si="72"/>
        <v>298381286</v>
      </c>
      <c r="O293" s="221">
        <f t="shared" si="72"/>
        <v>673703676.24</v>
      </c>
      <c r="P293" s="239">
        <f t="shared" si="79"/>
        <v>412157</v>
      </c>
    </row>
    <row r="294" spans="1:16" ht="11.25">
      <c r="A294" s="182">
        <v>250505</v>
      </c>
      <c r="B294" s="117" t="s">
        <v>972</v>
      </c>
      <c r="C294" s="184">
        <v>0</v>
      </c>
      <c r="D294" s="188">
        <v>1822104</v>
      </c>
      <c r="E294" s="190">
        <v>0</v>
      </c>
      <c r="F294" s="224">
        <v>9032368</v>
      </c>
      <c r="G294" s="224">
        <v>9032368</v>
      </c>
      <c r="H294" s="224">
        <v>76777736</v>
      </c>
      <c r="I294" s="224">
        <v>76777736</v>
      </c>
      <c r="J294" s="224">
        <v>109464014</v>
      </c>
      <c r="K294" s="224">
        <v>390480204</v>
      </c>
      <c r="L294" s="223">
        <v>195274</v>
      </c>
      <c r="M294" s="223">
        <v>476290</v>
      </c>
      <c r="N294" s="221">
        <f t="shared" si="72"/>
        <v>195274118</v>
      </c>
      <c r="O294" s="221">
        <f t="shared" si="72"/>
        <v>476290308</v>
      </c>
      <c r="P294" s="239">
        <f t="shared" si="79"/>
        <v>281016</v>
      </c>
    </row>
    <row r="295" spans="1:16" ht="11.25">
      <c r="A295" s="182">
        <v>250506</v>
      </c>
      <c r="B295" s="117" t="s">
        <v>973</v>
      </c>
      <c r="C295" s="184">
        <v>0</v>
      </c>
      <c r="D295" s="188">
        <v>139668831.65</v>
      </c>
      <c r="E295" s="190">
        <v>0</v>
      </c>
      <c r="F295" s="224">
        <v>765815</v>
      </c>
      <c r="G295" s="224">
        <v>765815</v>
      </c>
      <c r="H295" s="224">
        <v>3794825</v>
      </c>
      <c r="I295" s="224">
        <v>3794825</v>
      </c>
      <c r="J295" s="224">
        <v>2817535</v>
      </c>
      <c r="K295" s="224">
        <v>162226801</v>
      </c>
      <c r="L295" s="223">
        <v>7378</v>
      </c>
      <c r="M295" s="223">
        <v>166787</v>
      </c>
      <c r="N295" s="221">
        <f t="shared" si="72"/>
        <v>7378175</v>
      </c>
      <c r="O295" s="221">
        <f t="shared" si="72"/>
        <v>166787441</v>
      </c>
      <c r="P295" s="239">
        <f t="shared" si="79"/>
        <v>159409</v>
      </c>
    </row>
    <row r="296" spans="1:16" ht="11.25">
      <c r="A296" s="182">
        <v>250507</v>
      </c>
      <c r="B296" s="117" t="s">
        <v>974</v>
      </c>
      <c r="C296" s="184">
        <v>1194</v>
      </c>
      <c r="D296" s="188">
        <v>3544256</v>
      </c>
      <c r="E296" s="190">
        <v>0</v>
      </c>
      <c r="F296" s="224">
        <v>5546458</v>
      </c>
      <c r="G296" s="224">
        <v>4419688</v>
      </c>
      <c r="H296" s="224">
        <v>22345575</v>
      </c>
      <c r="I296" s="224">
        <v>22345575</v>
      </c>
      <c r="J296" s="224">
        <v>722450031</v>
      </c>
      <c r="K296" s="224">
        <v>722382118</v>
      </c>
      <c r="L296" s="223">
        <f>750342-1</f>
        <v>750341</v>
      </c>
      <c r="M296" s="223">
        <v>749147</v>
      </c>
      <c r="N296" s="221">
        <f t="shared" si="72"/>
        <v>750342064</v>
      </c>
      <c r="O296" s="221">
        <f t="shared" si="72"/>
        <v>749147381</v>
      </c>
      <c r="P296" s="239">
        <f t="shared" si="79"/>
        <v>0</v>
      </c>
    </row>
    <row r="297" spans="1:16" ht="11.25">
      <c r="A297" s="182">
        <v>250512</v>
      </c>
      <c r="B297" s="117" t="s">
        <v>975</v>
      </c>
      <c r="C297" s="184">
        <v>0</v>
      </c>
      <c r="D297" s="188">
        <v>12453179.799999997</v>
      </c>
      <c r="E297" s="190">
        <v>0</v>
      </c>
      <c r="F297" s="224">
        <v>21717068</v>
      </c>
      <c r="G297" s="224">
        <v>21717068</v>
      </c>
      <c r="H297" s="224">
        <v>19360385</v>
      </c>
      <c r="I297" s="224">
        <v>19360385</v>
      </c>
      <c r="J297" s="224">
        <v>28211420</v>
      </c>
      <c r="K297" s="224">
        <v>60874384</v>
      </c>
      <c r="L297" s="223">
        <v>69289</v>
      </c>
      <c r="M297" s="223">
        <v>101952</v>
      </c>
      <c r="N297" s="221">
        <f t="shared" si="72"/>
        <v>69288873</v>
      </c>
      <c r="O297" s="221">
        <f t="shared" si="72"/>
        <v>101951837</v>
      </c>
      <c r="P297" s="239">
        <f t="shared" si="79"/>
        <v>32663</v>
      </c>
    </row>
    <row r="298" spans="1:16" ht="11.25">
      <c r="A298" s="178">
        <v>270000</v>
      </c>
      <c r="B298" s="185" t="s">
        <v>976</v>
      </c>
      <c r="C298" s="220">
        <f aca="true" t="shared" si="80" ref="C298:M298">C299+C301</f>
        <v>1037594</v>
      </c>
      <c r="D298" s="220">
        <f t="shared" si="80"/>
        <v>-152331300.34</v>
      </c>
      <c r="E298" s="220">
        <f t="shared" si="80"/>
        <v>0</v>
      </c>
      <c r="F298" s="220">
        <f t="shared" si="80"/>
        <v>208860422.85</v>
      </c>
      <c r="G298" s="220">
        <f t="shared" si="80"/>
        <v>175498787.89999998</v>
      </c>
      <c r="H298" s="220">
        <f t="shared" si="80"/>
        <v>138043061</v>
      </c>
      <c r="I298" s="220">
        <f t="shared" si="80"/>
        <v>159064280.03</v>
      </c>
      <c r="J298" s="220">
        <f t="shared" si="80"/>
        <v>20603695920.530003</v>
      </c>
      <c r="K298" s="220">
        <f t="shared" si="80"/>
        <v>19578442790.739998</v>
      </c>
      <c r="L298" s="220">
        <f t="shared" si="80"/>
        <v>20950599</v>
      </c>
      <c r="M298" s="220">
        <f t="shared" si="80"/>
        <v>19913005</v>
      </c>
      <c r="N298" s="221">
        <f t="shared" si="72"/>
        <v>20950599404.38</v>
      </c>
      <c r="O298" s="221">
        <f t="shared" si="72"/>
        <v>19913005858.67</v>
      </c>
      <c r="P298" s="238">
        <f>P299+P301</f>
        <v>0</v>
      </c>
    </row>
    <row r="299" spans="1:16" ht="11.25">
      <c r="A299" s="178">
        <v>271000</v>
      </c>
      <c r="B299" s="185" t="s">
        <v>977</v>
      </c>
      <c r="C299" s="220">
        <f aca="true" t="shared" si="81" ref="C299:M299">C300</f>
        <v>80000</v>
      </c>
      <c r="D299" s="220">
        <f t="shared" si="81"/>
        <v>-80000000</v>
      </c>
      <c r="E299" s="220">
        <f t="shared" si="81"/>
        <v>0</v>
      </c>
      <c r="F299" s="220">
        <f t="shared" si="81"/>
        <v>102707351.85</v>
      </c>
      <c r="G299" s="220">
        <f t="shared" si="81"/>
        <v>102707351.85</v>
      </c>
      <c r="H299" s="220">
        <f t="shared" si="81"/>
        <v>15832453</v>
      </c>
      <c r="I299" s="220">
        <f t="shared" si="81"/>
        <v>0</v>
      </c>
      <c r="J299" s="220">
        <f t="shared" si="81"/>
        <v>19413451024.010002</v>
      </c>
      <c r="K299" s="220">
        <f t="shared" si="81"/>
        <v>19349283477.01</v>
      </c>
      <c r="L299" s="220">
        <f t="shared" si="81"/>
        <v>19531991</v>
      </c>
      <c r="M299" s="220">
        <f t="shared" si="81"/>
        <v>19451991</v>
      </c>
      <c r="N299" s="221">
        <f t="shared" si="72"/>
        <v>19531990828.86</v>
      </c>
      <c r="O299" s="221">
        <f t="shared" si="72"/>
        <v>19451990828.859997</v>
      </c>
      <c r="P299" s="238">
        <f>P300</f>
        <v>0</v>
      </c>
    </row>
    <row r="300" spans="1:16" ht="11.25">
      <c r="A300" s="182">
        <v>271005</v>
      </c>
      <c r="B300" s="187" t="s">
        <v>978</v>
      </c>
      <c r="C300" s="222">
        <v>80000</v>
      </c>
      <c r="D300" s="188">
        <v>-80000000</v>
      </c>
      <c r="E300" s="188">
        <v>0</v>
      </c>
      <c r="F300" s="224">
        <v>102707351.85</v>
      </c>
      <c r="G300" s="224">
        <v>102707351.85</v>
      </c>
      <c r="H300" s="224">
        <v>15832453</v>
      </c>
      <c r="I300" s="224">
        <v>0</v>
      </c>
      <c r="J300" s="224">
        <v>19413451024.010002</v>
      </c>
      <c r="K300" s="224">
        <v>19349283477.01</v>
      </c>
      <c r="L300" s="223">
        <v>19531991</v>
      </c>
      <c r="M300" s="223">
        <v>19451991</v>
      </c>
      <c r="N300" s="221">
        <f t="shared" si="72"/>
        <v>19531990828.86</v>
      </c>
      <c r="O300" s="221">
        <f t="shared" si="72"/>
        <v>19451990828.859997</v>
      </c>
      <c r="P300" s="239">
        <f>+C300+M300-L300</f>
        <v>0</v>
      </c>
    </row>
    <row r="301" spans="1:16" ht="11.25">
      <c r="A301" s="178">
        <v>271500</v>
      </c>
      <c r="B301" s="185" t="s">
        <v>979</v>
      </c>
      <c r="C301" s="225">
        <f aca="true" t="shared" si="82" ref="C301:M301">SUM(C302:C308)</f>
        <v>957594</v>
      </c>
      <c r="D301" s="225">
        <f t="shared" si="82"/>
        <v>-72331300.34</v>
      </c>
      <c r="E301" s="225">
        <f t="shared" si="82"/>
        <v>0</v>
      </c>
      <c r="F301" s="225">
        <f t="shared" si="82"/>
        <v>106153071</v>
      </c>
      <c r="G301" s="225">
        <f t="shared" si="82"/>
        <v>72791436.05</v>
      </c>
      <c r="H301" s="225">
        <f t="shared" si="82"/>
        <v>122210608</v>
      </c>
      <c r="I301" s="225">
        <f t="shared" si="82"/>
        <v>159064280.03</v>
      </c>
      <c r="J301" s="225">
        <f t="shared" si="82"/>
        <v>1190244896.52</v>
      </c>
      <c r="K301" s="225">
        <f t="shared" si="82"/>
        <v>229159313.73</v>
      </c>
      <c r="L301" s="225">
        <f t="shared" si="82"/>
        <v>1418608</v>
      </c>
      <c r="M301" s="225">
        <f t="shared" si="82"/>
        <v>461014</v>
      </c>
      <c r="N301" s="221">
        <f t="shared" si="72"/>
        <v>1418608575.52</v>
      </c>
      <c r="O301" s="221">
        <f t="shared" si="72"/>
        <v>461015029.80999994</v>
      </c>
      <c r="P301" s="239">
        <f>SUM(P302:P308)</f>
        <v>0</v>
      </c>
    </row>
    <row r="302" spans="1:16" ht="11.25">
      <c r="A302" s="182">
        <v>271501</v>
      </c>
      <c r="B302" s="187" t="s">
        <v>970</v>
      </c>
      <c r="C302" s="222">
        <v>0</v>
      </c>
      <c r="D302" s="188">
        <v>0</v>
      </c>
      <c r="E302" s="188">
        <v>0</v>
      </c>
      <c r="F302" s="224"/>
      <c r="G302" s="224"/>
      <c r="H302" s="224"/>
      <c r="I302" s="224"/>
      <c r="J302" s="224"/>
      <c r="K302" s="224"/>
      <c r="L302" s="223">
        <v>0</v>
      </c>
      <c r="M302" s="223">
        <v>0</v>
      </c>
      <c r="N302" s="221">
        <f t="shared" si="72"/>
        <v>0</v>
      </c>
      <c r="O302" s="221">
        <f t="shared" si="72"/>
        <v>0</v>
      </c>
      <c r="P302" s="239">
        <f aca="true" t="shared" si="83" ref="P302:P308">+C302+M302-L302</f>
        <v>0</v>
      </c>
    </row>
    <row r="303" spans="1:16" ht="11.25">
      <c r="A303" s="182">
        <v>271503</v>
      </c>
      <c r="B303" s="187" t="s">
        <v>971</v>
      </c>
      <c r="C303" s="222">
        <v>0</v>
      </c>
      <c r="D303" s="188">
        <v>589337</v>
      </c>
      <c r="E303" s="188">
        <v>0</v>
      </c>
      <c r="F303" s="224"/>
      <c r="G303" s="224"/>
      <c r="H303" s="224"/>
      <c r="I303" s="224"/>
      <c r="J303" s="224"/>
      <c r="K303" s="224"/>
      <c r="L303" s="223">
        <v>0</v>
      </c>
      <c r="M303" s="223">
        <v>0</v>
      </c>
      <c r="N303" s="221">
        <f t="shared" si="72"/>
        <v>0</v>
      </c>
      <c r="O303" s="221">
        <f t="shared" si="72"/>
        <v>0</v>
      </c>
      <c r="P303" s="239">
        <f t="shared" si="83"/>
        <v>0</v>
      </c>
    </row>
    <row r="304" spans="1:16" ht="11.25">
      <c r="A304" s="182">
        <v>271504</v>
      </c>
      <c r="B304" s="187" t="s">
        <v>973</v>
      </c>
      <c r="C304" s="222">
        <v>71364</v>
      </c>
      <c r="D304" s="188">
        <v>93586665.22999999</v>
      </c>
      <c r="E304" s="125">
        <v>0</v>
      </c>
      <c r="F304" s="224">
        <v>765815</v>
      </c>
      <c r="G304" s="224">
        <v>27477951.54</v>
      </c>
      <c r="H304" s="224">
        <v>3794825</v>
      </c>
      <c r="I304" s="224">
        <v>0</v>
      </c>
      <c r="J304" s="224">
        <v>94281031.61</v>
      </c>
      <c r="K304" s="224">
        <v>0</v>
      </c>
      <c r="L304" s="223">
        <v>98842</v>
      </c>
      <c r="M304" s="223">
        <v>27478</v>
      </c>
      <c r="N304" s="221">
        <f t="shared" si="72"/>
        <v>98841671.61</v>
      </c>
      <c r="O304" s="221">
        <f t="shared" si="72"/>
        <v>27477951.54</v>
      </c>
      <c r="P304" s="239">
        <f t="shared" si="83"/>
        <v>0</v>
      </c>
    </row>
    <row r="305" spans="1:16" ht="11.25">
      <c r="A305" s="182">
        <v>271505</v>
      </c>
      <c r="B305" s="187" t="s">
        <v>980</v>
      </c>
      <c r="C305" s="222">
        <v>0</v>
      </c>
      <c r="D305" s="188">
        <v>0</v>
      </c>
      <c r="E305" s="125">
        <v>0</v>
      </c>
      <c r="F305" s="224"/>
      <c r="G305" s="224"/>
      <c r="H305" s="224"/>
      <c r="I305" s="224"/>
      <c r="J305" s="224"/>
      <c r="K305" s="224"/>
      <c r="L305" s="223">
        <v>0</v>
      </c>
      <c r="M305" s="223">
        <v>0</v>
      </c>
      <c r="N305" s="221">
        <f t="shared" si="72"/>
        <v>0</v>
      </c>
      <c r="O305" s="221">
        <f t="shared" si="72"/>
        <v>0</v>
      </c>
      <c r="P305" s="239">
        <f t="shared" si="83"/>
        <v>0</v>
      </c>
    </row>
    <row r="306" spans="1:16" ht="11.25">
      <c r="A306" s="182">
        <v>271506</v>
      </c>
      <c r="B306" s="187" t="s">
        <v>972</v>
      </c>
      <c r="C306" s="222">
        <v>169550</v>
      </c>
      <c r="D306" s="188">
        <v>-746464.3599999994</v>
      </c>
      <c r="E306" s="125">
        <v>0</v>
      </c>
      <c r="F306" s="224">
        <v>9032368</v>
      </c>
      <c r="G306" s="224">
        <v>10852187.93</v>
      </c>
      <c r="H306" s="224">
        <v>76777736</v>
      </c>
      <c r="I306" s="224">
        <v>28246275.59</v>
      </c>
      <c r="J306" s="224">
        <v>122838168.88</v>
      </c>
      <c r="K306" s="224">
        <v>0</v>
      </c>
      <c r="L306" s="223">
        <v>208648</v>
      </c>
      <c r="M306" s="223">
        <v>39098</v>
      </c>
      <c r="N306" s="221">
        <f t="shared" si="72"/>
        <v>208648272.88</v>
      </c>
      <c r="O306" s="221">
        <f t="shared" si="72"/>
        <v>39098463.519999996</v>
      </c>
      <c r="P306" s="239">
        <f t="shared" si="83"/>
        <v>0</v>
      </c>
    </row>
    <row r="307" spans="1:16" ht="11.25">
      <c r="A307" s="182">
        <v>271507</v>
      </c>
      <c r="B307" s="187" t="s">
        <v>975</v>
      </c>
      <c r="C307" s="222">
        <v>259747</v>
      </c>
      <c r="D307" s="188">
        <v>-90092905.86999999</v>
      </c>
      <c r="E307" s="125">
        <v>0</v>
      </c>
      <c r="F307" s="224">
        <v>91935200</v>
      </c>
      <c r="G307" s="224">
        <v>25688600.23</v>
      </c>
      <c r="H307" s="224">
        <v>19360385</v>
      </c>
      <c r="I307" s="224">
        <v>76603378.72</v>
      </c>
      <c r="J307" s="224">
        <v>250743578.03</v>
      </c>
      <c r="K307" s="224">
        <v>0</v>
      </c>
      <c r="L307" s="223">
        <v>362039</v>
      </c>
      <c r="M307" s="223">
        <v>102292</v>
      </c>
      <c r="N307" s="221">
        <f t="shared" si="72"/>
        <v>362039163.03</v>
      </c>
      <c r="O307" s="221">
        <f t="shared" si="72"/>
        <v>102291978.95</v>
      </c>
      <c r="P307" s="239">
        <f t="shared" si="83"/>
        <v>0</v>
      </c>
    </row>
    <row r="308" spans="1:16" ht="11.25">
      <c r="A308" s="182">
        <v>271509</v>
      </c>
      <c r="B308" s="187" t="s">
        <v>974</v>
      </c>
      <c r="C308" s="222">
        <v>456933</v>
      </c>
      <c r="D308" s="188">
        <v>-75667932.34</v>
      </c>
      <c r="E308" s="125">
        <v>0</v>
      </c>
      <c r="F308" s="224">
        <v>4419688</v>
      </c>
      <c r="G308" s="224">
        <v>8772696.35</v>
      </c>
      <c r="H308" s="224">
        <v>22277662</v>
      </c>
      <c r="I308" s="224">
        <v>54214625.72</v>
      </c>
      <c r="J308" s="224">
        <v>722382118</v>
      </c>
      <c r="K308" s="224">
        <v>229159313.73</v>
      </c>
      <c r="L308" s="223">
        <v>749079</v>
      </c>
      <c r="M308" s="223">
        <f>292147-1</f>
        <v>292146</v>
      </c>
      <c r="N308" s="221">
        <f t="shared" si="72"/>
        <v>749079468</v>
      </c>
      <c r="O308" s="221">
        <f t="shared" si="72"/>
        <v>292146635.8</v>
      </c>
      <c r="P308" s="239">
        <f t="shared" si="83"/>
        <v>0</v>
      </c>
    </row>
    <row r="309" spans="1:16" ht="11.25">
      <c r="A309" s="178">
        <v>290000</v>
      </c>
      <c r="B309" s="185" t="s">
        <v>981</v>
      </c>
      <c r="C309" s="225">
        <f aca="true" t="shared" si="84" ref="C309:M309">C310+C314+C317</f>
        <v>0</v>
      </c>
      <c r="D309" s="225">
        <f t="shared" si="84"/>
        <v>0</v>
      </c>
      <c r="E309" s="225">
        <f t="shared" si="84"/>
        <v>0</v>
      </c>
      <c r="F309" s="225">
        <f t="shared" si="84"/>
        <v>0</v>
      </c>
      <c r="G309" s="225">
        <f t="shared" si="84"/>
        <v>0</v>
      </c>
      <c r="H309" s="225">
        <f t="shared" si="84"/>
        <v>0</v>
      </c>
      <c r="I309" s="225">
        <f t="shared" si="84"/>
        <v>0</v>
      </c>
      <c r="J309" s="225">
        <f t="shared" si="84"/>
        <v>0</v>
      </c>
      <c r="K309" s="225">
        <f t="shared" si="84"/>
        <v>0</v>
      </c>
      <c r="L309" s="225">
        <f t="shared" si="84"/>
        <v>0</v>
      </c>
      <c r="M309" s="225">
        <f t="shared" si="84"/>
        <v>0</v>
      </c>
      <c r="N309" s="221">
        <f t="shared" si="72"/>
        <v>0</v>
      </c>
      <c r="O309" s="221">
        <f t="shared" si="72"/>
        <v>0</v>
      </c>
      <c r="P309" s="239">
        <f>P310+P314+P317</f>
        <v>0</v>
      </c>
    </row>
    <row r="310" spans="1:16" ht="11.25">
      <c r="A310" s="178">
        <v>290500</v>
      </c>
      <c r="B310" s="185" t="s">
        <v>982</v>
      </c>
      <c r="C310" s="225">
        <f aca="true" t="shared" si="85" ref="C310:M310">SUM(C311:C313)</f>
        <v>0</v>
      </c>
      <c r="D310" s="225">
        <f t="shared" si="85"/>
        <v>0</v>
      </c>
      <c r="E310" s="225">
        <f t="shared" si="85"/>
        <v>0</v>
      </c>
      <c r="F310" s="225">
        <f t="shared" si="85"/>
        <v>0</v>
      </c>
      <c r="G310" s="225">
        <f t="shared" si="85"/>
        <v>0</v>
      </c>
      <c r="H310" s="225">
        <f t="shared" si="85"/>
        <v>0</v>
      </c>
      <c r="I310" s="225">
        <f t="shared" si="85"/>
        <v>0</v>
      </c>
      <c r="J310" s="225">
        <f t="shared" si="85"/>
        <v>0</v>
      </c>
      <c r="K310" s="225">
        <f t="shared" si="85"/>
        <v>0</v>
      </c>
      <c r="L310" s="225">
        <f t="shared" si="85"/>
        <v>0</v>
      </c>
      <c r="M310" s="225">
        <f t="shared" si="85"/>
        <v>0</v>
      </c>
      <c r="N310" s="221">
        <f t="shared" si="72"/>
        <v>0</v>
      </c>
      <c r="O310" s="221">
        <f t="shared" si="72"/>
        <v>0</v>
      </c>
      <c r="P310" s="239">
        <f>SUM(P311:P313)</f>
        <v>0</v>
      </c>
    </row>
    <row r="311" spans="1:16" ht="11.25">
      <c r="A311" s="182">
        <v>290502</v>
      </c>
      <c r="B311" s="187" t="s">
        <v>983</v>
      </c>
      <c r="C311" s="222">
        <v>0</v>
      </c>
      <c r="D311" s="188">
        <v>0</v>
      </c>
      <c r="E311" s="190">
        <v>0</v>
      </c>
      <c r="F311" s="224"/>
      <c r="G311" s="224"/>
      <c r="H311" s="224"/>
      <c r="I311" s="224"/>
      <c r="J311" s="224"/>
      <c r="K311" s="224"/>
      <c r="L311" s="223">
        <v>0</v>
      </c>
      <c r="M311" s="223">
        <v>0</v>
      </c>
      <c r="N311" s="221">
        <f t="shared" si="72"/>
        <v>0</v>
      </c>
      <c r="O311" s="221">
        <f t="shared" si="72"/>
        <v>0</v>
      </c>
      <c r="P311" s="239">
        <f>+C311+M311-L311</f>
        <v>0</v>
      </c>
    </row>
    <row r="312" spans="1:16" ht="11.25">
      <c r="A312" s="182">
        <v>290503</v>
      </c>
      <c r="B312" s="187" t="s">
        <v>984</v>
      </c>
      <c r="C312" s="222">
        <v>0</v>
      </c>
      <c r="D312" s="188">
        <v>0</v>
      </c>
      <c r="E312" s="190">
        <v>0</v>
      </c>
      <c r="F312" s="224"/>
      <c r="G312" s="224"/>
      <c r="H312" s="224"/>
      <c r="I312" s="224"/>
      <c r="J312" s="224"/>
      <c r="K312" s="224"/>
      <c r="L312" s="223">
        <v>0</v>
      </c>
      <c r="M312" s="223">
        <v>0</v>
      </c>
      <c r="N312" s="221">
        <f t="shared" si="72"/>
        <v>0</v>
      </c>
      <c r="O312" s="221">
        <f t="shared" si="72"/>
        <v>0</v>
      </c>
      <c r="P312" s="239">
        <f>+C312+M312-L312</f>
        <v>0</v>
      </c>
    </row>
    <row r="313" spans="1:16" ht="11.25">
      <c r="A313" s="182">
        <v>290590</v>
      </c>
      <c r="B313" s="187" t="s">
        <v>985</v>
      </c>
      <c r="C313" s="222">
        <v>0</v>
      </c>
      <c r="D313" s="188">
        <v>0</v>
      </c>
      <c r="E313" s="190">
        <v>0</v>
      </c>
      <c r="F313" s="224"/>
      <c r="G313" s="224"/>
      <c r="H313" s="224"/>
      <c r="I313" s="224"/>
      <c r="J313" s="224"/>
      <c r="K313" s="224"/>
      <c r="L313" s="223">
        <v>0</v>
      </c>
      <c r="M313" s="223">
        <v>0</v>
      </c>
      <c r="N313" s="221">
        <f t="shared" si="72"/>
        <v>0</v>
      </c>
      <c r="O313" s="221">
        <f t="shared" si="72"/>
        <v>0</v>
      </c>
      <c r="P313" s="239">
        <f>+C313+M313-L313</f>
        <v>0</v>
      </c>
    </row>
    <row r="314" spans="1:16" ht="11.25">
      <c r="A314" s="178">
        <v>291000</v>
      </c>
      <c r="B314" s="185" t="s">
        <v>986</v>
      </c>
      <c r="C314" s="225">
        <f aca="true" t="shared" si="86" ref="C314:M314">SUM(C315:C316)</f>
        <v>0</v>
      </c>
      <c r="D314" s="225">
        <f t="shared" si="86"/>
        <v>0</v>
      </c>
      <c r="E314" s="225">
        <f t="shared" si="86"/>
        <v>0</v>
      </c>
      <c r="F314" s="225">
        <f t="shared" si="86"/>
        <v>0</v>
      </c>
      <c r="G314" s="225">
        <f t="shared" si="86"/>
        <v>0</v>
      </c>
      <c r="H314" s="225">
        <f t="shared" si="86"/>
        <v>0</v>
      </c>
      <c r="I314" s="225">
        <f t="shared" si="86"/>
        <v>0</v>
      </c>
      <c r="J314" s="225">
        <f t="shared" si="86"/>
        <v>0</v>
      </c>
      <c r="K314" s="225">
        <f t="shared" si="86"/>
        <v>0</v>
      </c>
      <c r="L314" s="225">
        <f t="shared" si="86"/>
        <v>0</v>
      </c>
      <c r="M314" s="225">
        <f t="shared" si="86"/>
        <v>0</v>
      </c>
      <c r="N314" s="221">
        <f t="shared" si="72"/>
        <v>0</v>
      </c>
      <c r="O314" s="221">
        <f t="shared" si="72"/>
        <v>0</v>
      </c>
      <c r="P314" s="239">
        <f>SUM(P315:P316)</f>
        <v>0</v>
      </c>
    </row>
    <row r="315" spans="1:16" ht="11.25">
      <c r="A315" s="182">
        <v>291007</v>
      </c>
      <c r="B315" s="187" t="s">
        <v>987</v>
      </c>
      <c r="C315" s="222">
        <v>0</v>
      </c>
      <c r="D315" s="188">
        <v>0</v>
      </c>
      <c r="E315" s="190">
        <v>0</v>
      </c>
      <c r="F315" s="224"/>
      <c r="G315" s="224"/>
      <c r="H315" s="224"/>
      <c r="I315" s="224"/>
      <c r="J315" s="224"/>
      <c r="K315" s="224"/>
      <c r="L315" s="223">
        <v>0</v>
      </c>
      <c r="M315" s="223">
        <v>0</v>
      </c>
      <c r="N315" s="221">
        <f t="shared" si="72"/>
        <v>0</v>
      </c>
      <c r="O315" s="221">
        <f t="shared" si="72"/>
        <v>0</v>
      </c>
      <c r="P315" s="239">
        <f>+C315+M315-L315</f>
        <v>0</v>
      </c>
    </row>
    <row r="316" spans="1:16" ht="11.25">
      <c r="A316" s="182">
        <v>291090</v>
      </c>
      <c r="B316" s="187" t="s">
        <v>988</v>
      </c>
      <c r="C316" s="222">
        <v>0</v>
      </c>
      <c r="D316" s="188">
        <v>0</v>
      </c>
      <c r="E316" s="190">
        <v>0</v>
      </c>
      <c r="F316" s="224"/>
      <c r="G316" s="224"/>
      <c r="H316" s="224"/>
      <c r="I316" s="224"/>
      <c r="J316" s="224"/>
      <c r="K316" s="224"/>
      <c r="L316" s="223">
        <v>0</v>
      </c>
      <c r="M316" s="223">
        <v>0</v>
      </c>
      <c r="N316" s="221">
        <f t="shared" si="72"/>
        <v>0</v>
      </c>
      <c r="O316" s="221">
        <f t="shared" si="72"/>
        <v>0</v>
      </c>
      <c r="P316" s="239">
        <f>+C316+M316-L316</f>
        <v>0</v>
      </c>
    </row>
    <row r="317" spans="1:16" ht="11.25">
      <c r="A317" s="178">
        <v>299600</v>
      </c>
      <c r="B317" s="185" t="s">
        <v>989</v>
      </c>
      <c r="C317" s="225">
        <f aca="true" t="shared" si="87" ref="C317:M317">C318</f>
        <v>0</v>
      </c>
      <c r="D317" s="225">
        <f t="shared" si="87"/>
        <v>0</v>
      </c>
      <c r="E317" s="225">
        <f t="shared" si="87"/>
        <v>0</v>
      </c>
      <c r="F317" s="225">
        <f t="shared" si="87"/>
        <v>0</v>
      </c>
      <c r="G317" s="225">
        <f t="shared" si="87"/>
        <v>0</v>
      </c>
      <c r="H317" s="225">
        <f t="shared" si="87"/>
        <v>0</v>
      </c>
      <c r="I317" s="225">
        <f t="shared" si="87"/>
        <v>0</v>
      </c>
      <c r="J317" s="225">
        <f t="shared" si="87"/>
        <v>0</v>
      </c>
      <c r="K317" s="225">
        <f t="shared" si="87"/>
        <v>0</v>
      </c>
      <c r="L317" s="225">
        <f t="shared" si="87"/>
        <v>0</v>
      </c>
      <c r="M317" s="225">
        <f t="shared" si="87"/>
        <v>0</v>
      </c>
      <c r="N317" s="221">
        <f t="shared" si="72"/>
        <v>0</v>
      </c>
      <c r="O317" s="221">
        <f t="shared" si="72"/>
        <v>0</v>
      </c>
      <c r="P317" s="239">
        <f>P318</f>
        <v>0</v>
      </c>
    </row>
    <row r="318" spans="1:16" ht="11.25">
      <c r="A318" s="182">
        <v>299601</v>
      </c>
      <c r="B318" s="187" t="s">
        <v>990</v>
      </c>
      <c r="C318" s="222">
        <v>0</v>
      </c>
      <c r="D318" s="188">
        <v>0</v>
      </c>
      <c r="E318" s="190">
        <v>0</v>
      </c>
      <c r="F318" s="224"/>
      <c r="G318" s="224"/>
      <c r="H318" s="224"/>
      <c r="I318" s="224"/>
      <c r="J318" s="224"/>
      <c r="K318" s="224"/>
      <c r="L318" s="223">
        <v>0</v>
      </c>
      <c r="M318" s="223">
        <v>0</v>
      </c>
      <c r="N318" s="221">
        <f t="shared" si="72"/>
        <v>0</v>
      </c>
      <c r="O318" s="221">
        <f t="shared" si="72"/>
        <v>0</v>
      </c>
      <c r="P318" s="239">
        <f>+C318+M318-L318</f>
        <v>0</v>
      </c>
    </row>
    <row r="319" spans="1:16" ht="11.25">
      <c r="A319" s="178">
        <v>300000</v>
      </c>
      <c r="B319" s="179" t="s">
        <v>991</v>
      </c>
      <c r="C319" s="220">
        <f aca="true" t="shared" si="88" ref="C319:M319">C320</f>
        <v>-31482783</v>
      </c>
      <c r="D319" s="220">
        <f t="shared" si="88"/>
        <v>0</v>
      </c>
      <c r="E319" s="220">
        <f t="shared" si="88"/>
        <v>3972469907.62</v>
      </c>
      <c r="F319" s="220">
        <f t="shared" si="88"/>
        <v>0</v>
      </c>
      <c r="G319" s="220">
        <f t="shared" si="88"/>
        <v>0</v>
      </c>
      <c r="H319" s="220">
        <f t="shared" si="88"/>
        <v>0</v>
      </c>
      <c r="I319" s="220">
        <f t="shared" si="88"/>
        <v>0</v>
      </c>
      <c r="J319" s="220">
        <f t="shared" si="88"/>
        <v>98164424088.51999</v>
      </c>
      <c r="K319" s="220">
        <f t="shared" si="88"/>
        <v>1062374232</v>
      </c>
      <c r="L319" s="220">
        <f t="shared" si="88"/>
        <v>98164424</v>
      </c>
      <c r="M319" s="220">
        <f t="shared" si="88"/>
        <v>1062375</v>
      </c>
      <c r="N319" s="221">
        <f t="shared" si="72"/>
        <v>98164424088.51999</v>
      </c>
      <c r="O319" s="221">
        <f t="shared" si="72"/>
        <v>1062374232</v>
      </c>
      <c r="P319" s="238">
        <f>P320</f>
        <v>-128584832</v>
      </c>
    </row>
    <row r="320" spans="1:16" ht="11.25">
      <c r="A320" s="178">
        <v>310000</v>
      </c>
      <c r="B320" s="179" t="s">
        <v>992</v>
      </c>
      <c r="C320" s="220">
        <f aca="true" t="shared" si="89" ref="C320:M320">C321+C323+C327+C335+C338+C341+C345+C348</f>
        <v>-31482783</v>
      </c>
      <c r="D320" s="220">
        <f t="shared" si="89"/>
        <v>0</v>
      </c>
      <c r="E320" s="220">
        <f t="shared" si="89"/>
        <v>3972469907.62</v>
      </c>
      <c r="F320" s="220">
        <f t="shared" si="89"/>
        <v>0</v>
      </c>
      <c r="G320" s="220">
        <f t="shared" si="89"/>
        <v>0</v>
      </c>
      <c r="H320" s="220">
        <f t="shared" si="89"/>
        <v>0</v>
      </c>
      <c r="I320" s="220">
        <f t="shared" si="89"/>
        <v>0</v>
      </c>
      <c r="J320" s="220">
        <f t="shared" si="89"/>
        <v>98164424088.51999</v>
      </c>
      <c r="K320" s="220">
        <f t="shared" si="89"/>
        <v>1062374232</v>
      </c>
      <c r="L320" s="220">
        <f t="shared" si="89"/>
        <v>98164424</v>
      </c>
      <c r="M320" s="220">
        <f t="shared" si="89"/>
        <v>1062375</v>
      </c>
      <c r="N320" s="221">
        <f t="shared" si="72"/>
        <v>98164424088.51999</v>
      </c>
      <c r="O320" s="221">
        <f t="shared" si="72"/>
        <v>1062374232</v>
      </c>
      <c r="P320" s="238">
        <f>P321+P323+P327+P335+P338+P341+P345+P348</f>
        <v>-128584832</v>
      </c>
    </row>
    <row r="321" spans="1:16" ht="11.25">
      <c r="A321" s="178">
        <v>310500</v>
      </c>
      <c r="B321" s="179" t="s">
        <v>993</v>
      </c>
      <c r="C321" s="220">
        <f aca="true" t="shared" si="90" ref="C321:M321">C322</f>
        <v>-62887384</v>
      </c>
      <c r="D321" s="220">
        <f t="shared" si="90"/>
        <v>0</v>
      </c>
      <c r="E321" s="220">
        <f t="shared" si="90"/>
        <v>3986938349.46</v>
      </c>
      <c r="F321" s="220">
        <f t="shared" si="90"/>
        <v>0</v>
      </c>
      <c r="G321" s="220">
        <f t="shared" si="90"/>
        <v>0</v>
      </c>
      <c r="H321" s="220">
        <f t="shared" si="90"/>
        <v>0</v>
      </c>
      <c r="I321" s="220">
        <f t="shared" si="90"/>
        <v>0</v>
      </c>
      <c r="J321" s="220">
        <f t="shared" si="90"/>
        <v>4991227853.67</v>
      </c>
      <c r="K321" s="220">
        <f t="shared" si="90"/>
        <v>0</v>
      </c>
      <c r="L321" s="220">
        <f t="shared" si="90"/>
        <v>4991227</v>
      </c>
      <c r="M321" s="220">
        <f t="shared" si="90"/>
        <v>0</v>
      </c>
      <c r="N321" s="221">
        <f t="shared" si="72"/>
        <v>4991227853.67</v>
      </c>
      <c r="O321" s="221">
        <f t="shared" si="72"/>
        <v>0</v>
      </c>
      <c r="P321" s="238">
        <f>P322</f>
        <v>-67878611</v>
      </c>
    </row>
    <row r="322" spans="1:16" ht="11.25">
      <c r="A322" s="182">
        <v>310501</v>
      </c>
      <c r="B322" s="193" t="s">
        <v>994</v>
      </c>
      <c r="C322" s="228">
        <v>-62887384</v>
      </c>
      <c r="D322" s="188">
        <v>0</v>
      </c>
      <c r="E322" s="229">
        <v>3986938349.46</v>
      </c>
      <c r="F322" s="224"/>
      <c r="G322" s="224"/>
      <c r="H322" s="224"/>
      <c r="I322" s="224"/>
      <c r="J322" s="224">
        <v>4991227853.67</v>
      </c>
      <c r="K322" s="224">
        <v>0</v>
      </c>
      <c r="L322" s="223">
        <f>4991228-1</f>
        <v>4991227</v>
      </c>
      <c r="M322" s="223">
        <v>0</v>
      </c>
      <c r="N322" s="221">
        <f t="shared" si="72"/>
        <v>4991227853.67</v>
      </c>
      <c r="O322" s="221">
        <f t="shared" si="72"/>
        <v>0</v>
      </c>
      <c r="P322" s="239">
        <f>+C322+M322-L322</f>
        <v>-67878611</v>
      </c>
    </row>
    <row r="323" spans="1:16" ht="11.25">
      <c r="A323" s="178">
        <v>311000</v>
      </c>
      <c r="B323" s="179" t="s">
        <v>995</v>
      </c>
      <c r="C323" s="225">
        <f aca="true" t="shared" si="91" ref="C323:M323">SUM(C324:C326)</f>
        <v>0</v>
      </c>
      <c r="D323" s="225">
        <f t="shared" si="91"/>
        <v>0</v>
      </c>
      <c r="E323" s="225">
        <f t="shared" si="91"/>
        <v>0</v>
      </c>
      <c r="F323" s="225">
        <f t="shared" si="91"/>
        <v>0</v>
      </c>
      <c r="G323" s="225">
        <f t="shared" si="91"/>
        <v>0</v>
      </c>
      <c r="H323" s="225">
        <f t="shared" si="91"/>
        <v>0</v>
      </c>
      <c r="I323" s="225">
        <f t="shared" si="91"/>
        <v>0</v>
      </c>
      <c r="J323" s="225">
        <f t="shared" si="91"/>
        <v>91995950234.84999</v>
      </c>
      <c r="K323" s="225">
        <f t="shared" si="91"/>
        <v>919423632</v>
      </c>
      <c r="L323" s="225">
        <f t="shared" si="91"/>
        <v>91995951</v>
      </c>
      <c r="M323" s="225">
        <f t="shared" si="91"/>
        <v>919424</v>
      </c>
      <c r="N323" s="221">
        <f t="shared" si="72"/>
        <v>91995950234.84999</v>
      </c>
      <c r="O323" s="221">
        <f t="shared" si="72"/>
        <v>919423632</v>
      </c>
      <c r="P323" s="239">
        <f>SUM(P324:P326)</f>
        <v>-91076527</v>
      </c>
    </row>
    <row r="324" spans="1:16" ht="11.25">
      <c r="A324" s="182">
        <v>311001</v>
      </c>
      <c r="B324" s="183" t="s">
        <v>996</v>
      </c>
      <c r="C324" s="222">
        <v>0</v>
      </c>
      <c r="D324" s="188">
        <v>0</v>
      </c>
      <c r="E324" s="229">
        <v>0</v>
      </c>
      <c r="F324" s="224"/>
      <c r="G324" s="224"/>
      <c r="H324" s="224"/>
      <c r="I324" s="224"/>
      <c r="J324" s="224"/>
      <c r="K324" s="224"/>
      <c r="L324" s="223">
        <v>0</v>
      </c>
      <c r="M324" s="223">
        <v>0</v>
      </c>
      <c r="N324" s="221">
        <f t="shared" si="72"/>
        <v>0</v>
      </c>
      <c r="O324" s="221">
        <f t="shared" si="72"/>
        <v>0</v>
      </c>
      <c r="P324" s="239">
        <f>+C324+M324-L324</f>
        <v>0</v>
      </c>
    </row>
    <row r="325" spans="1:16" ht="11.25">
      <c r="A325" s="182">
        <v>311002</v>
      </c>
      <c r="B325" s="183" t="s">
        <v>997</v>
      </c>
      <c r="C325" s="222">
        <v>0</v>
      </c>
      <c r="D325" s="188">
        <v>0</v>
      </c>
      <c r="E325" s="229">
        <v>0</v>
      </c>
      <c r="F325" s="224"/>
      <c r="G325" s="224"/>
      <c r="H325" s="224"/>
      <c r="I325" s="224"/>
      <c r="J325" s="224">
        <v>90182429902.84999</v>
      </c>
      <c r="K325" s="224">
        <v>0</v>
      </c>
      <c r="L325" s="223">
        <v>90182430</v>
      </c>
      <c r="M325" s="223">
        <v>0</v>
      </c>
      <c r="N325" s="221">
        <f t="shared" si="72"/>
        <v>90182429902.84999</v>
      </c>
      <c r="O325" s="221">
        <f t="shared" si="72"/>
        <v>0</v>
      </c>
      <c r="P325" s="239">
        <f>+C325+M325-L325</f>
        <v>-90182430</v>
      </c>
    </row>
    <row r="326" spans="1:16" ht="11.25">
      <c r="A326" s="182">
        <v>311004</v>
      </c>
      <c r="B326" s="183" t="s">
        <v>998</v>
      </c>
      <c r="C326" s="222">
        <v>0</v>
      </c>
      <c r="D326" s="188">
        <v>0</v>
      </c>
      <c r="E326" s="229">
        <v>0</v>
      </c>
      <c r="F326" s="224"/>
      <c r="G326" s="224"/>
      <c r="H326" s="224"/>
      <c r="I326" s="224"/>
      <c r="J326" s="224">
        <v>1813520332</v>
      </c>
      <c r="K326" s="224">
        <v>919423632</v>
      </c>
      <c r="L326" s="223">
        <f>1813520+1</f>
        <v>1813521</v>
      </c>
      <c r="M326" s="223">
        <v>919424</v>
      </c>
      <c r="N326" s="221">
        <f t="shared" si="72"/>
        <v>1813520332</v>
      </c>
      <c r="O326" s="221">
        <f t="shared" si="72"/>
        <v>919423632</v>
      </c>
      <c r="P326" s="239">
        <f>+C326+M326-L326</f>
        <v>-894097</v>
      </c>
    </row>
    <row r="327" spans="1:16" ht="11.25">
      <c r="A327" s="178">
        <v>311500</v>
      </c>
      <c r="B327" s="179" t="s">
        <v>999</v>
      </c>
      <c r="C327" s="220">
        <f aca="true" t="shared" si="92" ref="C327:M327">SUM(C328:C334)</f>
        <v>3369681</v>
      </c>
      <c r="D327" s="220">
        <f t="shared" si="92"/>
        <v>0</v>
      </c>
      <c r="E327" s="220">
        <f t="shared" si="92"/>
        <v>6293100</v>
      </c>
      <c r="F327" s="220">
        <f t="shared" si="92"/>
        <v>0</v>
      </c>
      <c r="G327" s="220">
        <f t="shared" si="92"/>
        <v>0</v>
      </c>
      <c r="H327" s="220">
        <f t="shared" si="92"/>
        <v>0</v>
      </c>
      <c r="I327" s="220">
        <f t="shared" si="92"/>
        <v>0</v>
      </c>
      <c r="J327" s="220">
        <f t="shared" si="92"/>
        <v>350744000</v>
      </c>
      <c r="K327" s="220">
        <f t="shared" si="92"/>
        <v>142950600</v>
      </c>
      <c r="L327" s="220">
        <f t="shared" si="92"/>
        <v>350744</v>
      </c>
      <c r="M327" s="220">
        <f t="shared" si="92"/>
        <v>142951</v>
      </c>
      <c r="N327" s="221">
        <f t="shared" si="72"/>
        <v>350744000</v>
      </c>
      <c r="O327" s="221">
        <f t="shared" si="72"/>
        <v>142950600</v>
      </c>
      <c r="P327" s="238">
        <f>SUM(P328:P334)</f>
        <v>3161888</v>
      </c>
    </row>
    <row r="328" spans="1:16" ht="11.25">
      <c r="A328" s="182">
        <v>311502</v>
      </c>
      <c r="B328" s="183" t="s">
        <v>1000</v>
      </c>
      <c r="C328" s="222">
        <v>0</v>
      </c>
      <c r="D328" s="188">
        <v>0</v>
      </c>
      <c r="E328" s="229">
        <v>0</v>
      </c>
      <c r="F328" s="224"/>
      <c r="G328" s="224"/>
      <c r="H328" s="224"/>
      <c r="I328" s="224"/>
      <c r="J328" s="224"/>
      <c r="K328" s="224"/>
      <c r="L328" s="223">
        <v>0</v>
      </c>
      <c r="M328" s="223">
        <v>0</v>
      </c>
      <c r="N328" s="221">
        <f t="shared" si="72"/>
        <v>0</v>
      </c>
      <c r="O328" s="221">
        <f t="shared" si="72"/>
        <v>0</v>
      </c>
      <c r="P328" s="239">
        <f aca="true" t="shared" si="93" ref="P328:P334">+C328+M328-L328</f>
        <v>0</v>
      </c>
    </row>
    <row r="329" spans="1:16" ht="11.25">
      <c r="A329" s="182">
        <v>311551</v>
      </c>
      <c r="B329" s="183" t="s">
        <v>1001</v>
      </c>
      <c r="C329" s="222">
        <v>0</v>
      </c>
      <c r="D329" s="188">
        <v>0</v>
      </c>
      <c r="E329" s="229">
        <v>2923419</v>
      </c>
      <c r="F329" s="224"/>
      <c r="G329" s="224"/>
      <c r="H329" s="224"/>
      <c r="I329" s="224"/>
      <c r="J329" s="224"/>
      <c r="K329" s="224"/>
      <c r="L329" s="223">
        <v>0</v>
      </c>
      <c r="M329" s="223">
        <v>0</v>
      </c>
      <c r="N329" s="221">
        <f t="shared" si="72"/>
        <v>0</v>
      </c>
      <c r="O329" s="221">
        <f t="shared" si="72"/>
        <v>0</v>
      </c>
      <c r="P329" s="239">
        <f t="shared" si="93"/>
        <v>0</v>
      </c>
    </row>
    <row r="330" spans="1:16" ht="11.25">
      <c r="A330" s="182">
        <v>311552</v>
      </c>
      <c r="B330" s="183" t="s">
        <v>902</v>
      </c>
      <c r="C330" s="222">
        <v>976340</v>
      </c>
      <c r="D330" s="188">
        <v>0</v>
      </c>
      <c r="E330" s="229">
        <v>976340</v>
      </c>
      <c r="F330" s="224"/>
      <c r="G330" s="224"/>
      <c r="H330" s="224"/>
      <c r="I330" s="224"/>
      <c r="J330" s="224">
        <v>0</v>
      </c>
      <c r="K330" s="224">
        <v>142950600</v>
      </c>
      <c r="L330" s="223">
        <v>0</v>
      </c>
      <c r="M330" s="223">
        <v>142951</v>
      </c>
      <c r="N330" s="221">
        <f t="shared" si="72"/>
        <v>0</v>
      </c>
      <c r="O330" s="221">
        <f t="shared" si="72"/>
        <v>142950600</v>
      </c>
      <c r="P330" s="239">
        <f t="shared" si="93"/>
        <v>1119291</v>
      </c>
    </row>
    <row r="331" spans="1:16" ht="11.25">
      <c r="A331" s="182">
        <v>311562</v>
      </c>
      <c r="B331" s="183" t="s">
        <v>840</v>
      </c>
      <c r="C331" s="222">
        <v>2393341</v>
      </c>
      <c r="D331" s="188">
        <v>0</v>
      </c>
      <c r="E331" s="229">
        <v>2393341</v>
      </c>
      <c r="F331" s="224"/>
      <c r="G331" s="224"/>
      <c r="H331" s="224"/>
      <c r="I331" s="224"/>
      <c r="J331" s="224">
        <v>350744000</v>
      </c>
      <c r="K331" s="224">
        <v>0</v>
      </c>
      <c r="L331" s="223">
        <v>350744</v>
      </c>
      <c r="M331" s="223">
        <v>0</v>
      </c>
      <c r="N331" s="221">
        <f aca="true" t="shared" si="94" ref="N331:O394">+F331+H331+J331</f>
        <v>350744000</v>
      </c>
      <c r="O331" s="221">
        <f t="shared" si="94"/>
        <v>0</v>
      </c>
      <c r="P331" s="239">
        <f t="shared" si="93"/>
        <v>2042597</v>
      </c>
    </row>
    <row r="332" spans="1:16" ht="11.25">
      <c r="A332" s="182">
        <v>311569</v>
      </c>
      <c r="B332" s="183" t="s">
        <v>905</v>
      </c>
      <c r="C332" s="222">
        <v>0</v>
      </c>
      <c r="D332" s="188">
        <v>0</v>
      </c>
      <c r="E332" s="229">
        <v>0</v>
      </c>
      <c r="F332" s="224"/>
      <c r="G332" s="224"/>
      <c r="H332" s="224"/>
      <c r="I332" s="224"/>
      <c r="J332" s="224"/>
      <c r="K332" s="224"/>
      <c r="L332" s="223">
        <v>0</v>
      </c>
      <c r="M332" s="223">
        <v>0</v>
      </c>
      <c r="N332" s="221">
        <f t="shared" si="94"/>
        <v>0</v>
      </c>
      <c r="O332" s="221">
        <f t="shared" si="94"/>
        <v>0</v>
      </c>
      <c r="P332" s="239">
        <f t="shared" si="93"/>
        <v>0</v>
      </c>
    </row>
    <row r="333" spans="1:16" ht="11.25">
      <c r="A333" s="182">
        <v>311570</v>
      </c>
      <c r="B333" s="183" t="s">
        <v>1002</v>
      </c>
      <c r="C333" s="222">
        <v>0</v>
      </c>
      <c r="D333" s="188">
        <v>0</v>
      </c>
      <c r="E333" s="229">
        <v>0</v>
      </c>
      <c r="F333" s="224"/>
      <c r="G333" s="224"/>
      <c r="H333" s="224"/>
      <c r="I333" s="224"/>
      <c r="J333" s="224"/>
      <c r="K333" s="224"/>
      <c r="L333" s="223">
        <v>0</v>
      </c>
      <c r="M333" s="223">
        <v>0</v>
      </c>
      <c r="N333" s="221">
        <f t="shared" si="94"/>
        <v>0</v>
      </c>
      <c r="O333" s="221">
        <f t="shared" si="94"/>
        <v>0</v>
      </c>
      <c r="P333" s="239">
        <f t="shared" si="93"/>
        <v>0</v>
      </c>
    </row>
    <row r="334" spans="1:16" ht="22.5">
      <c r="A334" s="182">
        <v>311571</v>
      </c>
      <c r="B334" s="183" t="s">
        <v>907</v>
      </c>
      <c r="C334" s="222">
        <v>0</v>
      </c>
      <c r="D334" s="188">
        <v>0</v>
      </c>
      <c r="E334" s="229">
        <v>0</v>
      </c>
      <c r="F334" s="224"/>
      <c r="G334" s="224"/>
      <c r="H334" s="224"/>
      <c r="I334" s="224"/>
      <c r="J334" s="224"/>
      <c r="K334" s="224"/>
      <c r="L334" s="223">
        <v>0</v>
      </c>
      <c r="M334" s="223">
        <v>0</v>
      </c>
      <c r="N334" s="221">
        <f t="shared" si="94"/>
        <v>0</v>
      </c>
      <c r="O334" s="221">
        <f t="shared" si="94"/>
        <v>0</v>
      </c>
      <c r="P334" s="239">
        <f t="shared" si="93"/>
        <v>0</v>
      </c>
    </row>
    <row r="335" spans="1:16" ht="11.25">
      <c r="A335" s="178">
        <v>311700</v>
      </c>
      <c r="B335" s="179" t="s">
        <v>1003</v>
      </c>
      <c r="C335" s="225">
        <f aca="true" t="shared" si="95" ref="C335:M335">SUM(C336:C337)</f>
        <v>0</v>
      </c>
      <c r="D335" s="225">
        <f t="shared" si="95"/>
        <v>0</v>
      </c>
      <c r="E335" s="225">
        <f t="shared" si="95"/>
        <v>0</v>
      </c>
      <c r="F335" s="225">
        <f t="shared" si="95"/>
        <v>0</v>
      </c>
      <c r="G335" s="225">
        <f t="shared" si="95"/>
        <v>0</v>
      </c>
      <c r="H335" s="225">
        <f t="shared" si="95"/>
        <v>0</v>
      </c>
      <c r="I335" s="225">
        <f t="shared" si="95"/>
        <v>0</v>
      </c>
      <c r="J335" s="225">
        <f t="shared" si="95"/>
        <v>0</v>
      </c>
      <c r="K335" s="225">
        <f t="shared" si="95"/>
        <v>0</v>
      </c>
      <c r="L335" s="225">
        <f t="shared" si="95"/>
        <v>0</v>
      </c>
      <c r="M335" s="225">
        <f t="shared" si="95"/>
        <v>0</v>
      </c>
      <c r="N335" s="221">
        <f t="shared" si="94"/>
        <v>0</v>
      </c>
      <c r="O335" s="221">
        <f t="shared" si="94"/>
        <v>0</v>
      </c>
      <c r="P335" s="239">
        <f>SUM(P336:P337)</f>
        <v>0</v>
      </c>
    </row>
    <row r="336" spans="1:16" ht="22.5">
      <c r="A336" s="182">
        <v>311703</v>
      </c>
      <c r="B336" s="183" t="s">
        <v>1578</v>
      </c>
      <c r="C336" s="222">
        <v>0</v>
      </c>
      <c r="D336" s="188">
        <v>0</v>
      </c>
      <c r="E336" s="229">
        <v>0</v>
      </c>
      <c r="F336" s="224"/>
      <c r="G336" s="224"/>
      <c r="H336" s="224"/>
      <c r="I336" s="224"/>
      <c r="J336" s="224"/>
      <c r="K336" s="224"/>
      <c r="L336" s="223">
        <v>0</v>
      </c>
      <c r="M336" s="223">
        <v>0</v>
      </c>
      <c r="N336" s="221">
        <f t="shared" si="94"/>
        <v>0</v>
      </c>
      <c r="O336" s="221">
        <f t="shared" si="94"/>
        <v>0</v>
      </c>
      <c r="P336" s="239">
        <f>+C336+M336-L336</f>
        <v>0</v>
      </c>
    </row>
    <row r="337" spans="1:16" ht="11.25">
      <c r="A337" s="182">
        <v>311725</v>
      </c>
      <c r="B337" s="183" t="s">
        <v>1579</v>
      </c>
      <c r="C337" s="222">
        <v>0</v>
      </c>
      <c r="D337" s="188">
        <v>0</v>
      </c>
      <c r="E337" s="229">
        <v>0</v>
      </c>
      <c r="F337" s="224"/>
      <c r="G337" s="224"/>
      <c r="H337" s="224"/>
      <c r="I337" s="224"/>
      <c r="J337" s="224"/>
      <c r="K337" s="224"/>
      <c r="L337" s="223">
        <v>0</v>
      </c>
      <c r="M337" s="223">
        <v>0</v>
      </c>
      <c r="N337" s="221">
        <f t="shared" si="94"/>
        <v>0</v>
      </c>
      <c r="O337" s="221">
        <f t="shared" si="94"/>
        <v>0</v>
      </c>
      <c r="P337" s="239">
        <f>+C337+M337-L337</f>
        <v>0</v>
      </c>
    </row>
    <row r="338" spans="1:16" ht="11.25">
      <c r="A338" s="178">
        <v>312000</v>
      </c>
      <c r="B338" s="185" t="s">
        <v>1580</v>
      </c>
      <c r="C338" s="220">
        <f aca="true" t="shared" si="96" ref="C338:M338">SUM(C339:C340)</f>
        <v>879893</v>
      </c>
      <c r="D338" s="220">
        <f t="shared" si="96"/>
        <v>0</v>
      </c>
      <c r="E338" s="220">
        <f t="shared" si="96"/>
        <v>879893</v>
      </c>
      <c r="F338" s="220">
        <f t="shared" si="96"/>
        <v>0</v>
      </c>
      <c r="G338" s="220">
        <f t="shared" si="96"/>
        <v>0</v>
      </c>
      <c r="H338" s="220">
        <f t="shared" si="96"/>
        <v>0</v>
      </c>
      <c r="I338" s="220">
        <f t="shared" si="96"/>
        <v>0</v>
      </c>
      <c r="J338" s="220">
        <f t="shared" si="96"/>
        <v>0</v>
      </c>
      <c r="K338" s="220">
        <f t="shared" si="96"/>
        <v>0</v>
      </c>
      <c r="L338" s="220">
        <f t="shared" si="96"/>
        <v>0</v>
      </c>
      <c r="M338" s="220">
        <f t="shared" si="96"/>
        <v>0</v>
      </c>
      <c r="N338" s="221">
        <f t="shared" si="94"/>
        <v>0</v>
      </c>
      <c r="O338" s="221">
        <f t="shared" si="94"/>
        <v>0</v>
      </c>
      <c r="P338" s="238">
        <f>SUM(P339:P340)</f>
        <v>879893</v>
      </c>
    </row>
    <row r="339" spans="1:16" ht="11.25">
      <c r="A339" s="182">
        <v>312001</v>
      </c>
      <c r="B339" s="187" t="s">
        <v>1581</v>
      </c>
      <c r="C339" s="222">
        <v>0</v>
      </c>
      <c r="D339" s="188">
        <v>0</v>
      </c>
      <c r="E339" s="229">
        <v>0</v>
      </c>
      <c r="F339" s="224"/>
      <c r="G339" s="224"/>
      <c r="H339" s="224"/>
      <c r="I339" s="224"/>
      <c r="J339" s="224"/>
      <c r="K339" s="224"/>
      <c r="L339" s="223">
        <v>0</v>
      </c>
      <c r="M339" s="223">
        <v>0</v>
      </c>
      <c r="N339" s="221">
        <f t="shared" si="94"/>
        <v>0</v>
      </c>
      <c r="O339" s="221">
        <f t="shared" si="94"/>
        <v>0</v>
      </c>
      <c r="P339" s="239">
        <f>+C339+M339-L339</f>
        <v>0</v>
      </c>
    </row>
    <row r="340" spans="1:16" ht="11.25">
      <c r="A340" s="182">
        <v>312002</v>
      </c>
      <c r="B340" s="183" t="s">
        <v>1582</v>
      </c>
      <c r="C340" s="222">
        <v>879893</v>
      </c>
      <c r="D340" s="188">
        <v>0</v>
      </c>
      <c r="E340" s="229">
        <v>879893</v>
      </c>
      <c r="F340" s="224"/>
      <c r="G340" s="224"/>
      <c r="H340" s="224"/>
      <c r="I340" s="224"/>
      <c r="J340" s="224">
        <v>0</v>
      </c>
      <c r="K340" s="224">
        <v>0</v>
      </c>
      <c r="L340" s="223">
        <v>0</v>
      </c>
      <c r="M340" s="223">
        <v>0</v>
      </c>
      <c r="N340" s="221">
        <f t="shared" si="94"/>
        <v>0</v>
      </c>
      <c r="O340" s="221">
        <f t="shared" si="94"/>
        <v>0</v>
      </c>
      <c r="P340" s="239">
        <f>+C340+M340-L340</f>
        <v>879893</v>
      </c>
    </row>
    <row r="341" spans="1:16" ht="11.25">
      <c r="A341" s="178">
        <v>312500</v>
      </c>
      <c r="B341" s="179" t="s">
        <v>1583</v>
      </c>
      <c r="C341" s="220">
        <f aca="true" t="shared" si="97" ref="C341:M341">SUM(C342:C344)</f>
        <v>27155027</v>
      </c>
      <c r="D341" s="220">
        <f t="shared" si="97"/>
        <v>0</v>
      </c>
      <c r="E341" s="220">
        <f t="shared" si="97"/>
        <v>27155027</v>
      </c>
      <c r="F341" s="220">
        <f t="shared" si="97"/>
        <v>0</v>
      </c>
      <c r="G341" s="220">
        <f t="shared" si="97"/>
        <v>0</v>
      </c>
      <c r="H341" s="220">
        <f t="shared" si="97"/>
        <v>0</v>
      </c>
      <c r="I341" s="220">
        <f t="shared" si="97"/>
        <v>0</v>
      </c>
      <c r="J341" s="220">
        <f t="shared" si="97"/>
        <v>826502000</v>
      </c>
      <c r="K341" s="220">
        <f t="shared" si="97"/>
        <v>0</v>
      </c>
      <c r="L341" s="220">
        <f t="shared" si="97"/>
        <v>826502</v>
      </c>
      <c r="M341" s="220">
        <f t="shared" si="97"/>
        <v>0</v>
      </c>
      <c r="N341" s="221">
        <f t="shared" si="94"/>
        <v>826502000</v>
      </c>
      <c r="O341" s="221">
        <f t="shared" si="94"/>
        <v>0</v>
      </c>
      <c r="P341" s="238">
        <f>SUM(P342:P344)</f>
        <v>26328525</v>
      </c>
    </row>
    <row r="342" spans="1:16" ht="11.25">
      <c r="A342" s="182">
        <v>312505</v>
      </c>
      <c r="B342" s="183" t="s">
        <v>1584</v>
      </c>
      <c r="C342" s="222">
        <v>10282063</v>
      </c>
      <c r="D342" s="188">
        <v>0</v>
      </c>
      <c r="E342" s="229">
        <v>10282063</v>
      </c>
      <c r="F342" s="224"/>
      <c r="G342" s="224"/>
      <c r="H342" s="224"/>
      <c r="I342" s="224"/>
      <c r="J342" s="224">
        <v>0</v>
      </c>
      <c r="K342" s="224">
        <v>0</v>
      </c>
      <c r="L342" s="223">
        <v>0</v>
      </c>
      <c r="M342" s="223">
        <v>0</v>
      </c>
      <c r="N342" s="221">
        <f t="shared" si="94"/>
        <v>0</v>
      </c>
      <c r="O342" s="221">
        <f t="shared" si="94"/>
        <v>0</v>
      </c>
      <c r="P342" s="239">
        <f>+C342+M342-L342</f>
        <v>10282063</v>
      </c>
    </row>
    <row r="343" spans="1:16" ht="11.25">
      <c r="A343" s="182">
        <v>312506</v>
      </c>
      <c r="B343" s="183" t="s">
        <v>897</v>
      </c>
      <c r="C343" s="222">
        <v>16872964</v>
      </c>
      <c r="D343" s="188">
        <v>0</v>
      </c>
      <c r="E343" s="229">
        <v>16872964</v>
      </c>
      <c r="F343" s="224"/>
      <c r="G343" s="224"/>
      <c r="H343" s="224"/>
      <c r="I343" s="224"/>
      <c r="J343" s="224">
        <v>826502000</v>
      </c>
      <c r="K343" s="224">
        <v>0</v>
      </c>
      <c r="L343" s="223">
        <v>826502</v>
      </c>
      <c r="M343" s="223">
        <v>0</v>
      </c>
      <c r="N343" s="221">
        <f t="shared" si="94"/>
        <v>826502000</v>
      </c>
      <c r="O343" s="221">
        <f t="shared" si="94"/>
        <v>0</v>
      </c>
      <c r="P343" s="239">
        <f>+C343+M343-L343</f>
        <v>16046462</v>
      </c>
    </row>
    <row r="344" spans="1:16" ht="11.25">
      <c r="A344" s="182">
        <v>312509</v>
      </c>
      <c r="B344" s="183" t="s">
        <v>1585</v>
      </c>
      <c r="C344" s="222">
        <v>0</v>
      </c>
      <c r="D344" s="188">
        <v>0</v>
      </c>
      <c r="E344" s="229">
        <v>0</v>
      </c>
      <c r="F344" s="224"/>
      <c r="G344" s="224"/>
      <c r="H344" s="224"/>
      <c r="I344" s="224"/>
      <c r="J344" s="224"/>
      <c r="K344" s="224"/>
      <c r="L344" s="223">
        <v>0</v>
      </c>
      <c r="M344" s="223">
        <v>0</v>
      </c>
      <c r="N344" s="221">
        <f t="shared" si="94"/>
        <v>0</v>
      </c>
      <c r="O344" s="221">
        <f t="shared" si="94"/>
        <v>0</v>
      </c>
      <c r="P344" s="239">
        <f>+C344+M344-L344</f>
        <v>0</v>
      </c>
    </row>
    <row r="345" spans="1:16" ht="11.25">
      <c r="A345" s="178">
        <v>313000</v>
      </c>
      <c r="B345" s="185" t="s">
        <v>1586</v>
      </c>
      <c r="C345" s="225">
        <f aca="true" t="shared" si="98" ref="C345:M345">SUM(C346:C347)</f>
        <v>0</v>
      </c>
      <c r="D345" s="225">
        <f t="shared" si="98"/>
        <v>0</v>
      </c>
      <c r="E345" s="225">
        <f t="shared" si="98"/>
        <v>0</v>
      </c>
      <c r="F345" s="225">
        <f t="shared" si="98"/>
        <v>0</v>
      </c>
      <c r="G345" s="225">
        <f t="shared" si="98"/>
        <v>0</v>
      </c>
      <c r="H345" s="225">
        <f t="shared" si="98"/>
        <v>0</v>
      </c>
      <c r="I345" s="225">
        <f t="shared" si="98"/>
        <v>0</v>
      </c>
      <c r="J345" s="225">
        <f t="shared" si="98"/>
        <v>0</v>
      </c>
      <c r="K345" s="225">
        <f t="shared" si="98"/>
        <v>0</v>
      </c>
      <c r="L345" s="225">
        <f t="shared" si="98"/>
        <v>0</v>
      </c>
      <c r="M345" s="225">
        <f t="shared" si="98"/>
        <v>0</v>
      </c>
      <c r="N345" s="221">
        <f t="shared" si="94"/>
        <v>0</v>
      </c>
      <c r="O345" s="221">
        <f t="shared" si="94"/>
        <v>0</v>
      </c>
      <c r="P345" s="239">
        <f>SUM(P346:P347)</f>
        <v>0</v>
      </c>
    </row>
    <row r="346" spans="1:16" ht="11.25">
      <c r="A346" s="182">
        <v>313001</v>
      </c>
      <c r="B346" s="183" t="s">
        <v>1587</v>
      </c>
      <c r="C346" s="222">
        <v>0</v>
      </c>
      <c r="D346" s="188">
        <v>0</v>
      </c>
      <c r="E346" s="229">
        <v>0</v>
      </c>
      <c r="F346" s="224"/>
      <c r="G346" s="224"/>
      <c r="H346" s="224"/>
      <c r="I346" s="224"/>
      <c r="J346" s="224"/>
      <c r="K346" s="224"/>
      <c r="L346" s="223">
        <v>0</v>
      </c>
      <c r="M346" s="223">
        <v>0</v>
      </c>
      <c r="N346" s="221">
        <f t="shared" si="94"/>
        <v>0</v>
      </c>
      <c r="O346" s="221">
        <f t="shared" si="94"/>
        <v>0</v>
      </c>
      <c r="P346" s="239">
        <f>+C346+M346-L346</f>
        <v>0</v>
      </c>
    </row>
    <row r="347" spans="1:16" ht="11.25">
      <c r="A347" s="182">
        <v>313002</v>
      </c>
      <c r="B347" s="187" t="s">
        <v>1588</v>
      </c>
      <c r="C347" s="222">
        <v>0</v>
      </c>
      <c r="D347" s="188">
        <v>0</v>
      </c>
      <c r="E347" s="229">
        <v>0</v>
      </c>
      <c r="F347" s="224"/>
      <c r="G347" s="224"/>
      <c r="H347" s="224"/>
      <c r="I347" s="224"/>
      <c r="J347" s="224"/>
      <c r="K347" s="224"/>
      <c r="L347" s="223">
        <v>0</v>
      </c>
      <c r="M347" s="223">
        <v>0</v>
      </c>
      <c r="N347" s="221">
        <f t="shared" si="94"/>
        <v>0</v>
      </c>
      <c r="O347" s="221">
        <f t="shared" si="94"/>
        <v>0</v>
      </c>
      <c r="P347" s="239">
        <f>+C347+M347-L347</f>
        <v>0</v>
      </c>
    </row>
    <row r="348" spans="1:16" ht="11.25">
      <c r="A348" s="178">
        <v>313800</v>
      </c>
      <c r="B348" s="179" t="s">
        <v>1589</v>
      </c>
      <c r="C348" s="225">
        <f aca="true" t="shared" si="99" ref="C348:M348">SUM(C349:C353)</f>
        <v>0</v>
      </c>
      <c r="D348" s="225">
        <f t="shared" si="99"/>
        <v>0</v>
      </c>
      <c r="E348" s="225">
        <f t="shared" si="99"/>
        <v>-48796461.84</v>
      </c>
      <c r="F348" s="225">
        <f t="shared" si="99"/>
        <v>0</v>
      </c>
      <c r="G348" s="225">
        <f t="shared" si="99"/>
        <v>0</v>
      </c>
      <c r="H348" s="225">
        <f t="shared" si="99"/>
        <v>0</v>
      </c>
      <c r="I348" s="225">
        <f t="shared" si="99"/>
        <v>0</v>
      </c>
      <c r="J348" s="225">
        <f t="shared" si="99"/>
        <v>0</v>
      </c>
      <c r="K348" s="225">
        <f t="shared" si="99"/>
        <v>0</v>
      </c>
      <c r="L348" s="225">
        <f t="shared" si="99"/>
        <v>0</v>
      </c>
      <c r="M348" s="225">
        <f t="shared" si="99"/>
        <v>0</v>
      </c>
      <c r="N348" s="221">
        <f t="shared" si="94"/>
        <v>0</v>
      </c>
      <c r="O348" s="221">
        <f t="shared" si="94"/>
        <v>0</v>
      </c>
      <c r="P348" s="239">
        <f>SUM(P349:P353)</f>
        <v>0</v>
      </c>
    </row>
    <row r="349" spans="1:16" ht="11.25">
      <c r="A349" s="182">
        <v>313801</v>
      </c>
      <c r="B349" s="183" t="s">
        <v>1590</v>
      </c>
      <c r="C349" s="222">
        <v>0</v>
      </c>
      <c r="D349" s="188">
        <v>0</v>
      </c>
      <c r="E349" s="229">
        <v>-3229678</v>
      </c>
      <c r="F349" s="224"/>
      <c r="G349" s="224"/>
      <c r="H349" s="224"/>
      <c r="I349" s="224"/>
      <c r="J349" s="224"/>
      <c r="K349" s="224"/>
      <c r="L349" s="223">
        <v>0</v>
      </c>
      <c r="M349" s="223">
        <v>0</v>
      </c>
      <c r="N349" s="221">
        <f t="shared" si="94"/>
        <v>0</v>
      </c>
      <c r="O349" s="221">
        <f t="shared" si="94"/>
        <v>0</v>
      </c>
      <c r="P349" s="239">
        <f>+C349+M349-L349</f>
        <v>0</v>
      </c>
    </row>
    <row r="350" spans="1:16" ht="11.25">
      <c r="A350" s="182">
        <v>313804</v>
      </c>
      <c r="B350" s="183" t="s">
        <v>896</v>
      </c>
      <c r="C350" s="222">
        <v>0</v>
      </c>
      <c r="D350" s="188">
        <v>0</v>
      </c>
      <c r="E350" s="229">
        <v>-62231158</v>
      </c>
      <c r="F350" s="224"/>
      <c r="G350" s="224"/>
      <c r="H350" s="224"/>
      <c r="I350" s="224"/>
      <c r="J350" s="224"/>
      <c r="K350" s="224"/>
      <c r="L350" s="223">
        <v>0</v>
      </c>
      <c r="M350" s="223">
        <v>0</v>
      </c>
      <c r="N350" s="221">
        <f t="shared" si="94"/>
        <v>0</v>
      </c>
      <c r="O350" s="221">
        <f t="shared" si="94"/>
        <v>0</v>
      </c>
      <c r="P350" s="239">
        <f>+C350+M350-L350</f>
        <v>0</v>
      </c>
    </row>
    <row r="351" spans="1:16" ht="11.25">
      <c r="A351" s="182">
        <v>313805</v>
      </c>
      <c r="B351" s="183" t="s">
        <v>1584</v>
      </c>
      <c r="C351" s="222">
        <v>0</v>
      </c>
      <c r="D351" s="188">
        <v>0</v>
      </c>
      <c r="E351" s="229">
        <v>-32913367.84</v>
      </c>
      <c r="F351" s="224"/>
      <c r="G351" s="224"/>
      <c r="H351" s="224"/>
      <c r="I351" s="224"/>
      <c r="J351" s="224"/>
      <c r="K351" s="224"/>
      <c r="L351" s="223">
        <v>0</v>
      </c>
      <c r="M351" s="223">
        <v>0</v>
      </c>
      <c r="N351" s="221">
        <f t="shared" si="94"/>
        <v>0</v>
      </c>
      <c r="O351" s="221">
        <f t="shared" si="94"/>
        <v>0</v>
      </c>
      <c r="P351" s="239">
        <f>+C351+M351-L351</f>
        <v>0</v>
      </c>
    </row>
    <row r="352" spans="1:16" ht="11.25">
      <c r="A352" s="182">
        <v>313806</v>
      </c>
      <c r="B352" s="183" t="s">
        <v>1000</v>
      </c>
      <c r="C352" s="222">
        <v>0</v>
      </c>
      <c r="D352" s="188">
        <v>0</v>
      </c>
      <c r="E352" s="229">
        <v>0</v>
      </c>
      <c r="F352" s="224"/>
      <c r="G352" s="224"/>
      <c r="H352" s="224"/>
      <c r="I352" s="224"/>
      <c r="J352" s="224"/>
      <c r="K352" s="224"/>
      <c r="L352" s="223">
        <v>0</v>
      </c>
      <c r="M352" s="223">
        <v>0</v>
      </c>
      <c r="N352" s="221">
        <f t="shared" si="94"/>
        <v>0</v>
      </c>
      <c r="O352" s="221">
        <f t="shared" si="94"/>
        <v>0</v>
      </c>
      <c r="P352" s="239">
        <f>+C352+M352-L352</f>
        <v>0</v>
      </c>
    </row>
    <row r="353" spans="1:16" ht="11.25">
      <c r="A353" s="182">
        <v>313812</v>
      </c>
      <c r="B353" s="183" t="s">
        <v>990</v>
      </c>
      <c r="C353" s="222">
        <v>0</v>
      </c>
      <c r="D353" s="188">
        <v>0</v>
      </c>
      <c r="E353" s="229">
        <v>49577742</v>
      </c>
      <c r="F353" s="224"/>
      <c r="G353" s="224"/>
      <c r="H353" s="224"/>
      <c r="I353" s="224"/>
      <c r="J353" s="224"/>
      <c r="K353" s="224"/>
      <c r="L353" s="223">
        <v>0</v>
      </c>
      <c r="M353" s="223">
        <v>0</v>
      </c>
      <c r="N353" s="221">
        <f t="shared" si="94"/>
        <v>0</v>
      </c>
      <c r="O353" s="221">
        <f t="shared" si="94"/>
        <v>0</v>
      </c>
      <c r="P353" s="239">
        <f>+C353+M353-L353</f>
        <v>0</v>
      </c>
    </row>
    <row r="354" spans="1:16" ht="11.25">
      <c r="A354" s="194">
        <v>400000</v>
      </c>
      <c r="B354" s="124" t="s">
        <v>1591</v>
      </c>
      <c r="C354" s="220">
        <f aca="true" t="shared" si="100" ref="C354:M354">C355+C371+C379+C382+C401</f>
        <v>8679529046</v>
      </c>
      <c r="D354" s="220">
        <f t="shared" si="100"/>
        <v>0</v>
      </c>
      <c r="E354" s="220">
        <f t="shared" si="100"/>
        <v>-2793793682689.7603</v>
      </c>
      <c r="F354" s="220">
        <f t="shared" si="100"/>
        <v>21206503610.63</v>
      </c>
      <c r="G354" s="220">
        <f t="shared" si="100"/>
        <v>1297560660284.33</v>
      </c>
      <c r="H354" s="220">
        <f t="shared" si="100"/>
        <v>25000884848</v>
      </c>
      <c r="I354" s="220">
        <f t="shared" si="100"/>
        <v>1124139639565.71</v>
      </c>
      <c r="J354" s="220">
        <f t="shared" si="100"/>
        <v>12634177133250.871</v>
      </c>
      <c r="K354" s="220">
        <f t="shared" si="100"/>
        <v>1736594272382.92</v>
      </c>
      <c r="L354" s="220">
        <f t="shared" si="100"/>
        <v>100267180</v>
      </c>
      <c r="M354" s="220">
        <f t="shared" si="100"/>
        <v>4156917770</v>
      </c>
      <c r="N354" s="221">
        <f t="shared" si="94"/>
        <v>12680384521709.502</v>
      </c>
      <c r="O354" s="221">
        <f t="shared" si="94"/>
        <v>4158294572232.96</v>
      </c>
      <c r="P354" s="238">
        <f>P355+P371+P379+P382+P401</f>
        <v>12736179636</v>
      </c>
    </row>
    <row r="355" spans="1:16" ht="11.25">
      <c r="A355" s="194">
        <v>410000</v>
      </c>
      <c r="B355" s="124" t="s">
        <v>1592</v>
      </c>
      <c r="C355" s="220">
        <f aca="true" t="shared" si="101" ref="C355:M355">C356+C363+C368</f>
        <v>102395997</v>
      </c>
      <c r="D355" s="220">
        <f t="shared" si="101"/>
        <v>0</v>
      </c>
      <c r="E355" s="220">
        <f t="shared" si="101"/>
        <v>-16693713234.220001</v>
      </c>
      <c r="F355" s="220">
        <f t="shared" si="101"/>
        <v>0</v>
      </c>
      <c r="G355" s="220">
        <f t="shared" si="101"/>
        <v>19321874735.12</v>
      </c>
      <c r="H355" s="220">
        <f t="shared" si="101"/>
        <v>25000884220</v>
      </c>
      <c r="I355" s="220">
        <f t="shared" si="101"/>
        <v>884220</v>
      </c>
      <c r="J355" s="220">
        <f t="shared" si="101"/>
        <v>12555232456.720001</v>
      </c>
      <c r="K355" s="220">
        <f t="shared" si="101"/>
        <v>54661160782.200005</v>
      </c>
      <c r="L355" s="220">
        <f t="shared" si="101"/>
        <v>36179316</v>
      </c>
      <c r="M355" s="220">
        <f t="shared" si="101"/>
        <v>72607119</v>
      </c>
      <c r="N355" s="221">
        <f t="shared" si="94"/>
        <v>37556116676.72</v>
      </c>
      <c r="O355" s="221">
        <f t="shared" si="94"/>
        <v>73983919737.32</v>
      </c>
      <c r="P355" s="238">
        <f>P356+P363+P368</f>
        <v>138823800</v>
      </c>
    </row>
    <row r="356" spans="1:16" ht="11.25">
      <c r="A356" s="194">
        <v>411000</v>
      </c>
      <c r="B356" s="124" t="s">
        <v>1593</v>
      </c>
      <c r="C356" s="220">
        <f aca="true" t="shared" si="102" ref="C356:M356">SUM(C357:C362)</f>
        <v>25023882</v>
      </c>
      <c r="D356" s="220">
        <f t="shared" si="102"/>
        <v>0</v>
      </c>
      <c r="E356" s="220">
        <f t="shared" si="102"/>
        <v>25023882</v>
      </c>
      <c r="F356" s="220">
        <f t="shared" si="102"/>
        <v>0</v>
      </c>
      <c r="G356" s="220">
        <f t="shared" si="102"/>
        <v>0</v>
      </c>
      <c r="H356" s="220">
        <f t="shared" si="102"/>
        <v>25000884220</v>
      </c>
      <c r="I356" s="220">
        <f t="shared" si="102"/>
        <v>884220</v>
      </c>
      <c r="J356" s="220">
        <f t="shared" si="102"/>
        <v>100000</v>
      </c>
      <c r="K356" s="220">
        <f t="shared" si="102"/>
        <v>378673702.03999996</v>
      </c>
      <c r="L356" s="220">
        <f t="shared" si="102"/>
        <v>25000984</v>
      </c>
      <c r="M356" s="220">
        <f t="shared" si="102"/>
        <v>379558</v>
      </c>
      <c r="N356" s="221">
        <f t="shared" si="94"/>
        <v>25000984220</v>
      </c>
      <c r="O356" s="221">
        <f t="shared" si="94"/>
        <v>379557922.03999996</v>
      </c>
      <c r="P356" s="238">
        <f>SUM(P357:P362)</f>
        <v>402456</v>
      </c>
    </row>
    <row r="357" spans="1:19" ht="11.25">
      <c r="A357" s="195">
        <v>411001</v>
      </c>
      <c r="B357" s="125" t="s">
        <v>3470</v>
      </c>
      <c r="C357" s="184">
        <v>25000904</v>
      </c>
      <c r="D357" s="125">
        <v>0</v>
      </c>
      <c r="E357" s="229">
        <v>25000904</v>
      </c>
      <c r="F357" s="224"/>
      <c r="G357" s="224"/>
      <c r="H357" s="224">
        <v>25000884220</v>
      </c>
      <c r="I357" s="224">
        <v>0</v>
      </c>
      <c r="J357" s="224">
        <v>0</v>
      </c>
      <c r="K357" s="224">
        <v>213416322.04</v>
      </c>
      <c r="L357" s="223">
        <f>25214320-213436</f>
        <v>25000884</v>
      </c>
      <c r="M357" s="223">
        <v>213416</v>
      </c>
      <c r="N357" s="221">
        <f t="shared" si="94"/>
        <v>25000884220</v>
      </c>
      <c r="O357" s="221">
        <f t="shared" si="94"/>
        <v>213416322.04</v>
      </c>
      <c r="P357" s="239">
        <f aca="true" t="shared" si="103" ref="P357:P362">+C357+M357-L357</f>
        <v>213436</v>
      </c>
      <c r="Q357" s="196"/>
      <c r="R357" s="196"/>
      <c r="S357" s="196"/>
    </row>
    <row r="358" spans="1:16" ht="11.25">
      <c r="A358" s="195">
        <v>411002</v>
      </c>
      <c r="B358" s="125" t="s">
        <v>3471</v>
      </c>
      <c r="C358" s="184">
        <v>15051</v>
      </c>
      <c r="D358" s="125">
        <v>0</v>
      </c>
      <c r="E358" s="229">
        <v>15051</v>
      </c>
      <c r="F358" s="224"/>
      <c r="G358" s="224"/>
      <c r="H358" s="224"/>
      <c r="I358" s="224"/>
      <c r="J358" s="224">
        <v>0</v>
      </c>
      <c r="K358" s="224">
        <v>136000</v>
      </c>
      <c r="L358" s="223">
        <v>0</v>
      </c>
      <c r="M358" s="223">
        <v>136</v>
      </c>
      <c r="N358" s="221">
        <f t="shared" si="94"/>
        <v>0</v>
      </c>
      <c r="O358" s="221">
        <f t="shared" si="94"/>
        <v>136000</v>
      </c>
      <c r="P358" s="239">
        <f t="shared" si="103"/>
        <v>15187</v>
      </c>
    </row>
    <row r="359" spans="1:16" ht="11.25">
      <c r="A359" s="195">
        <v>411016</v>
      </c>
      <c r="B359" s="125" t="s">
        <v>1594</v>
      </c>
      <c r="C359" s="184">
        <v>7827</v>
      </c>
      <c r="D359" s="125">
        <v>0</v>
      </c>
      <c r="E359" s="229">
        <v>7827</v>
      </c>
      <c r="F359" s="224"/>
      <c r="G359" s="224"/>
      <c r="H359" s="224">
        <v>0</v>
      </c>
      <c r="I359" s="224">
        <v>884220</v>
      </c>
      <c r="J359" s="224">
        <v>0</v>
      </c>
      <c r="K359" s="224">
        <v>165121380</v>
      </c>
      <c r="L359" s="223">
        <v>0</v>
      </c>
      <c r="M359" s="223">
        <v>166006</v>
      </c>
      <c r="N359" s="221">
        <f t="shared" si="94"/>
        <v>0</v>
      </c>
      <c r="O359" s="221">
        <f t="shared" si="94"/>
        <v>166005600</v>
      </c>
      <c r="P359" s="239">
        <f t="shared" si="103"/>
        <v>173833</v>
      </c>
    </row>
    <row r="360" spans="1:19" ht="11.25">
      <c r="A360" s="195">
        <v>411021</v>
      </c>
      <c r="B360" s="125" t="s">
        <v>1595</v>
      </c>
      <c r="C360" s="184">
        <v>0</v>
      </c>
      <c r="D360" s="125">
        <v>0</v>
      </c>
      <c r="E360" s="229">
        <v>0</v>
      </c>
      <c r="F360" s="224"/>
      <c r="G360" s="224"/>
      <c r="H360" s="224"/>
      <c r="I360" s="224"/>
      <c r="J360" s="224"/>
      <c r="K360" s="224"/>
      <c r="L360" s="223">
        <v>0</v>
      </c>
      <c r="M360" s="223">
        <v>0</v>
      </c>
      <c r="N360" s="221">
        <f t="shared" si="94"/>
        <v>0</v>
      </c>
      <c r="O360" s="221">
        <f t="shared" si="94"/>
        <v>0</v>
      </c>
      <c r="P360" s="239">
        <f t="shared" si="103"/>
        <v>0</v>
      </c>
      <c r="S360" s="181"/>
    </row>
    <row r="361" spans="1:16" ht="11.25">
      <c r="A361" s="195">
        <v>411032</v>
      </c>
      <c r="B361" s="125" t="s">
        <v>1596</v>
      </c>
      <c r="C361" s="184">
        <v>0</v>
      </c>
      <c r="D361" s="125">
        <v>0</v>
      </c>
      <c r="E361" s="229">
        <v>0</v>
      </c>
      <c r="F361" s="224"/>
      <c r="G361" s="224"/>
      <c r="H361" s="224"/>
      <c r="I361" s="224"/>
      <c r="J361" s="224"/>
      <c r="K361" s="224"/>
      <c r="L361" s="223">
        <v>0</v>
      </c>
      <c r="M361" s="223">
        <v>0</v>
      </c>
      <c r="N361" s="221">
        <f t="shared" si="94"/>
        <v>0</v>
      </c>
      <c r="O361" s="221">
        <f t="shared" si="94"/>
        <v>0</v>
      </c>
      <c r="P361" s="239">
        <f t="shared" si="103"/>
        <v>0</v>
      </c>
    </row>
    <row r="362" spans="1:16" ht="11.25">
      <c r="A362" s="195">
        <v>411090</v>
      </c>
      <c r="B362" s="125" t="s">
        <v>1597</v>
      </c>
      <c r="C362" s="184">
        <v>100</v>
      </c>
      <c r="D362" s="125">
        <v>0</v>
      </c>
      <c r="E362" s="229">
        <v>100</v>
      </c>
      <c r="F362" s="224"/>
      <c r="G362" s="224"/>
      <c r="H362" s="224"/>
      <c r="I362" s="224"/>
      <c r="J362" s="224">
        <v>100000</v>
      </c>
      <c r="K362" s="224">
        <v>0</v>
      </c>
      <c r="L362" s="223">
        <v>100</v>
      </c>
      <c r="M362" s="223">
        <v>0</v>
      </c>
      <c r="N362" s="221">
        <f t="shared" si="94"/>
        <v>100000</v>
      </c>
      <c r="O362" s="221">
        <f t="shared" si="94"/>
        <v>0</v>
      </c>
      <c r="P362" s="239">
        <f t="shared" si="103"/>
        <v>0</v>
      </c>
    </row>
    <row r="363" spans="1:16" ht="11.25">
      <c r="A363" s="194">
        <v>412000</v>
      </c>
      <c r="B363" s="124" t="s">
        <v>1598</v>
      </c>
      <c r="C363" s="225">
        <f aca="true" t="shared" si="104" ref="C363:M363">SUM(C364:C367)</f>
        <v>77372115</v>
      </c>
      <c r="D363" s="225">
        <f t="shared" si="104"/>
        <v>0</v>
      </c>
      <c r="E363" s="225">
        <f t="shared" si="104"/>
        <v>-16718737116.220001</v>
      </c>
      <c r="F363" s="225">
        <f t="shared" si="104"/>
        <v>0</v>
      </c>
      <c r="G363" s="225">
        <f t="shared" si="104"/>
        <v>19321874735.12</v>
      </c>
      <c r="H363" s="225">
        <f t="shared" si="104"/>
        <v>0</v>
      </c>
      <c r="I363" s="225">
        <f t="shared" si="104"/>
        <v>0</v>
      </c>
      <c r="J363" s="225">
        <f t="shared" si="104"/>
        <v>12555132456.720001</v>
      </c>
      <c r="K363" s="225">
        <f t="shared" si="104"/>
        <v>54282487080.16</v>
      </c>
      <c r="L363" s="225">
        <f t="shared" si="104"/>
        <v>11178332</v>
      </c>
      <c r="M363" s="225">
        <f t="shared" si="104"/>
        <v>72227561</v>
      </c>
      <c r="N363" s="221">
        <f t="shared" si="94"/>
        <v>12555132456.720001</v>
      </c>
      <c r="O363" s="221">
        <f t="shared" si="94"/>
        <v>73604361815.28</v>
      </c>
      <c r="P363" s="239">
        <f>SUM(P364:P367)</f>
        <v>138421344</v>
      </c>
    </row>
    <row r="364" spans="1:16" ht="11.25">
      <c r="A364" s="195">
        <v>412014</v>
      </c>
      <c r="B364" s="125" t="s">
        <v>1599</v>
      </c>
      <c r="C364" s="184">
        <v>75943302</v>
      </c>
      <c r="D364" s="125">
        <v>0</v>
      </c>
      <c r="E364" s="229">
        <v>-16720165929.220001</v>
      </c>
      <c r="F364" s="224">
        <v>0</v>
      </c>
      <c r="G364" s="224">
        <v>18329929743.12</v>
      </c>
      <c r="H364" s="224"/>
      <c r="I364" s="224"/>
      <c r="J364" s="224">
        <f>147654336912.72-135099204456</f>
        <v>12555132456.720001</v>
      </c>
      <c r="K364" s="224">
        <v>53381105798.16</v>
      </c>
      <c r="L364" s="223">
        <f>147654337-136476005</f>
        <v>11178332</v>
      </c>
      <c r="M364" s="223">
        <f>71711036-1376801</f>
        <v>70334235</v>
      </c>
      <c r="N364" s="221">
        <f t="shared" si="94"/>
        <v>12555132456.720001</v>
      </c>
      <c r="O364" s="221">
        <f t="shared" si="94"/>
        <v>71711035541.28</v>
      </c>
      <c r="P364" s="239">
        <f>+C364+M364-L364</f>
        <v>135099205</v>
      </c>
    </row>
    <row r="365" spans="1:16" ht="11.25">
      <c r="A365" s="195">
        <v>412015</v>
      </c>
      <c r="B365" s="125" t="s">
        <v>3475</v>
      </c>
      <c r="C365" s="184">
        <v>0</v>
      </c>
      <c r="D365" s="125">
        <v>0</v>
      </c>
      <c r="E365" s="229">
        <v>0</v>
      </c>
      <c r="F365" s="224"/>
      <c r="G365" s="224"/>
      <c r="H365" s="224"/>
      <c r="I365" s="224"/>
      <c r="J365" s="224"/>
      <c r="K365" s="224"/>
      <c r="L365" s="223">
        <v>0</v>
      </c>
      <c r="M365" s="223">
        <v>0</v>
      </c>
      <c r="N365" s="221">
        <f t="shared" si="94"/>
        <v>0</v>
      </c>
      <c r="O365" s="221">
        <f t="shared" si="94"/>
        <v>0</v>
      </c>
      <c r="P365" s="239">
        <f>+C365+M365-L365</f>
        <v>0</v>
      </c>
    </row>
    <row r="366" spans="1:16" ht="22.5">
      <c r="A366" s="195">
        <v>412043</v>
      </c>
      <c r="B366" s="125" t="s">
        <v>1600</v>
      </c>
      <c r="C366" s="184">
        <v>1428813</v>
      </c>
      <c r="D366" s="125">
        <v>0</v>
      </c>
      <c r="E366" s="229">
        <v>1428813</v>
      </c>
      <c r="F366" s="224">
        <v>0</v>
      </c>
      <c r="G366" s="224">
        <v>991944992</v>
      </c>
      <c r="H366" s="224"/>
      <c r="I366" s="224"/>
      <c r="J366" s="224">
        <v>0</v>
      </c>
      <c r="K366" s="224">
        <v>901381282</v>
      </c>
      <c r="L366" s="223">
        <v>0</v>
      </c>
      <c r="M366" s="223">
        <v>1893326</v>
      </c>
      <c r="N366" s="221">
        <f t="shared" si="94"/>
        <v>0</v>
      </c>
      <c r="O366" s="221">
        <f t="shared" si="94"/>
        <v>1893326274</v>
      </c>
      <c r="P366" s="239">
        <f>+C366+M366-L366</f>
        <v>3322139</v>
      </c>
    </row>
    <row r="367" spans="1:16" ht="11.25">
      <c r="A367" s="195">
        <v>412090</v>
      </c>
      <c r="B367" s="125" t="s">
        <v>1601</v>
      </c>
      <c r="C367" s="184">
        <v>0</v>
      </c>
      <c r="D367" s="125">
        <v>0</v>
      </c>
      <c r="E367" s="229">
        <v>0</v>
      </c>
      <c r="F367" s="224"/>
      <c r="G367" s="224"/>
      <c r="H367" s="224"/>
      <c r="I367" s="224"/>
      <c r="J367" s="224"/>
      <c r="K367" s="224"/>
      <c r="L367" s="223">
        <v>0</v>
      </c>
      <c r="M367" s="223">
        <v>0</v>
      </c>
      <c r="N367" s="221">
        <f t="shared" si="94"/>
        <v>0</v>
      </c>
      <c r="O367" s="221">
        <f t="shared" si="94"/>
        <v>0</v>
      </c>
      <c r="P367" s="239">
        <f>+C367+M367-L367</f>
        <v>0</v>
      </c>
    </row>
    <row r="368" spans="1:16" ht="11.25">
      <c r="A368" s="194">
        <v>419500</v>
      </c>
      <c r="B368" s="124" t="s">
        <v>1602</v>
      </c>
      <c r="C368" s="225">
        <f aca="true" t="shared" si="105" ref="C368:M368">SUM(C369:C370)</f>
        <v>0</v>
      </c>
      <c r="D368" s="225">
        <f t="shared" si="105"/>
        <v>0</v>
      </c>
      <c r="E368" s="225">
        <f t="shared" si="105"/>
        <v>0</v>
      </c>
      <c r="F368" s="225">
        <f t="shared" si="105"/>
        <v>0</v>
      </c>
      <c r="G368" s="225">
        <f t="shared" si="105"/>
        <v>0</v>
      </c>
      <c r="H368" s="225">
        <f t="shared" si="105"/>
        <v>0</v>
      </c>
      <c r="I368" s="225">
        <f t="shared" si="105"/>
        <v>0</v>
      </c>
      <c r="J368" s="225">
        <f t="shared" si="105"/>
        <v>0</v>
      </c>
      <c r="K368" s="225">
        <f t="shared" si="105"/>
        <v>0</v>
      </c>
      <c r="L368" s="225">
        <f t="shared" si="105"/>
        <v>0</v>
      </c>
      <c r="M368" s="225">
        <f t="shared" si="105"/>
        <v>0</v>
      </c>
      <c r="N368" s="221">
        <f t="shared" si="94"/>
        <v>0</v>
      </c>
      <c r="O368" s="221">
        <f t="shared" si="94"/>
        <v>0</v>
      </c>
      <c r="P368" s="239">
        <f>SUM(P369:P370)</f>
        <v>0</v>
      </c>
    </row>
    <row r="369" spans="1:16" ht="11.25">
      <c r="A369" s="195">
        <v>419502</v>
      </c>
      <c r="B369" s="125" t="s">
        <v>1603</v>
      </c>
      <c r="C369" s="184">
        <v>0</v>
      </c>
      <c r="D369" s="125">
        <v>0</v>
      </c>
      <c r="E369" s="125">
        <v>0</v>
      </c>
      <c r="F369" s="224"/>
      <c r="G369" s="224"/>
      <c r="H369" s="224"/>
      <c r="I369" s="224"/>
      <c r="J369" s="224"/>
      <c r="K369" s="224"/>
      <c r="L369" s="223">
        <v>0</v>
      </c>
      <c r="M369" s="223">
        <v>0</v>
      </c>
      <c r="N369" s="221">
        <f t="shared" si="94"/>
        <v>0</v>
      </c>
      <c r="O369" s="221">
        <f t="shared" si="94"/>
        <v>0</v>
      </c>
      <c r="P369" s="239">
        <f>+C369+M369-L369</f>
        <v>0</v>
      </c>
    </row>
    <row r="370" spans="1:16" ht="11.25">
      <c r="A370" s="195">
        <v>419504</v>
      </c>
      <c r="B370" s="125" t="s">
        <v>1604</v>
      </c>
      <c r="C370" s="184">
        <v>0</v>
      </c>
      <c r="D370" s="125">
        <v>0</v>
      </c>
      <c r="E370" s="125">
        <v>0</v>
      </c>
      <c r="F370" s="224"/>
      <c r="G370" s="224"/>
      <c r="H370" s="224"/>
      <c r="I370" s="224"/>
      <c r="J370" s="224"/>
      <c r="K370" s="224"/>
      <c r="L370" s="223">
        <v>0</v>
      </c>
      <c r="M370" s="223">
        <v>0</v>
      </c>
      <c r="N370" s="221">
        <f t="shared" si="94"/>
        <v>0</v>
      </c>
      <c r="O370" s="221">
        <f t="shared" si="94"/>
        <v>0</v>
      </c>
      <c r="P370" s="239">
        <f>+C370+M370-L370</f>
        <v>0</v>
      </c>
    </row>
    <row r="371" spans="1:16" ht="11.25">
      <c r="A371" s="194">
        <v>430000</v>
      </c>
      <c r="B371" s="124" t="s">
        <v>1605</v>
      </c>
      <c r="C371" s="225">
        <f aca="true" t="shared" si="106" ref="C371:M371">C372+C375+C377</f>
        <v>0</v>
      </c>
      <c r="D371" s="225">
        <f t="shared" si="106"/>
        <v>0</v>
      </c>
      <c r="E371" s="225">
        <f t="shared" si="106"/>
        <v>0</v>
      </c>
      <c r="F371" s="225">
        <f t="shared" si="106"/>
        <v>0</v>
      </c>
      <c r="G371" s="225">
        <f t="shared" si="106"/>
        <v>0</v>
      </c>
      <c r="H371" s="225">
        <f t="shared" si="106"/>
        <v>0</v>
      </c>
      <c r="I371" s="225">
        <f t="shared" si="106"/>
        <v>0</v>
      </c>
      <c r="J371" s="225">
        <f t="shared" si="106"/>
        <v>0</v>
      </c>
      <c r="K371" s="225">
        <f t="shared" si="106"/>
        <v>0</v>
      </c>
      <c r="L371" s="225">
        <f t="shared" si="106"/>
        <v>0</v>
      </c>
      <c r="M371" s="225">
        <f t="shared" si="106"/>
        <v>0</v>
      </c>
      <c r="N371" s="221">
        <f t="shared" si="94"/>
        <v>0</v>
      </c>
      <c r="O371" s="221">
        <f t="shared" si="94"/>
        <v>0</v>
      </c>
      <c r="P371" s="239">
        <f>P372+P375+P377</f>
        <v>0</v>
      </c>
    </row>
    <row r="372" spans="1:16" ht="11.25">
      <c r="A372" s="194">
        <v>430500</v>
      </c>
      <c r="B372" s="124" t="s">
        <v>1606</v>
      </c>
      <c r="C372" s="225">
        <f aca="true" t="shared" si="107" ref="C372:M372">SUM(C373:C374)</f>
        <v>0</v>
      </c>
      <c r="D372" s="225">
        <f t="shared" si="107"/>
        <v>0</v>
      </c>
      <c r="E372" s="225">
        <f t="shared" si="107"/>
        <v>0</v>
      </c>
      <c r="F372" s="225">
        <f t="shared" si="107"/>
        <v>0</v>
      </c>
      <c r="G372" s="225">
        <f t="shared" si="107"/>
        <v>0</v>
      </c>
      <c r="H372" s="225">
        <f t="shared" si="107"/>
        <v>0</v>
      </c>
      <c r="I372" s="225">
        <f t="shared" si="107"/>
        <v>0</v>
      </c>
      <c r="J372" s="225">
        <f t="shared" si="107"/>
        <v>0</v>
      </c>
      <c r="K372" s="225">
        <f t="shared" si="107"/>
        <v>0</v>
      </c>
      <c r="L372" s="225">
        <f t="shared" si="107"/>
        <v>0</v>
      </c>
      <c r="M372" s="225">
        <f t="shared" si="107"/>
        <v>0</v>
      </c>
      <c r="N372" s="221">
        <f t="shared" si="94"/>
        <v>0</v>
      </c>
      <c r="O372" s="221">
        <f t="shared" si="94"/>
        <v>0</v>
      </c>
      <c r="P372" s="239">
        <f>SUM(P373:P374)</f>
        <v>0</v>
      </c>
    </row>
    <row r="373" spans="1:16" ht="11.25">
      <c r="A373" s="195">
        <v>430512</v>
      </c>
      <c r="B373" s="125" t="s">
        <v>1607</v>
      </c>
      <c r="C373" s="184">
        <v>0</v>
      </c>
      <c r="D373" s="125">
        <v>0</v>
      </c>
      <c r="E373" s="125">
        <v>0</v>
      </c>
      <c r="F373" s="224"/>
      <c r="G373" s="224"/>
      <c r="H373" s="224"/>
      <c r="I373" s="224"/>
      <c r="J373" s="224"/>
      <c r="K373" s="224"/>
      <c r="L373" s="223">
        <v>0</v>
      </c>
      <c r="M373" s="223">
        <v>0</v>
      </c>
      <c r="N373" s="221">
        <f t="shared" si="94"/>
        <v>0</v>
      </c>
      <c r="O373" s="221">
        <f t="shared" si="94"/>
        <v>0</v>
      </c>
      <c r="P373" s="239">
        <f>+C373+M373-L373</f>
        <v>0</v>
      </c>
    </row>
    <row r="374" spans="1:16" ht="11.25">
      <c r="A374" s="195">
        <v>430515</v>
      </c>
      <c r="B374" s="125" t="s">
        <v>1608</v>
      </c>
      <c r="C374" s="184">
        <v>0</v>
      </c>
      <c r="D374" s="125">
        <v>0</v>
      </c>
      <c r="E374" s="125">
        <v>0</v>
      </c>
      <c r="F374" s="224"/>
      <c r="G374" s="224"/>
      <c r="H374" s="224"/>
      <c r="I374" s="224"/>
      <c r="J374" s="224"/>
      <c r="K374" s="224"/>
      <c r="L374" s="223">
        <v>0</v>
      </c>
      <c r="M374" s="223">
        <v>0</v>
      </c>
      <c r="N374" s="221">
        <f t="shared" si="94"/>
        <v>0</v>
      </c>
      <c r="O374" s="221">
        <f t="shared" si="94"/>
        <v>0</v>
      </c>
      <c r="P374" s="239">
        <f>+C374+M374-L374</f>
        <v>0</v>
      </c>
    </row>
    <row r="375" spans="1:16" ht="11.25">
      <c r="A375" s="194">
        <v>439000</v>
      </c>
      <c r="B375" s="124" t="s">
        <v>1609</v>
      </c>
      <c r="C375" s="225">
        <f aca="true" t="shared" si="108" ref="C375:M375">C376</f>
        <v>0</v>
      </c>
      <c r="D375" s="225">
        <f t="shared" si="108"/>
        <v>0</v>
      </c>
      <c r="E375" s="225">
        <f t="shared" si="108"/>
        <v>0</v>
      </c>
      <c r="F375" s="225">
        <f t="shared" si="108"/>
        <v>0</v>
      </c>
      <c r="G375" s="225">
        <f t="shared" si="108"/>
        <v>0</v>
      </c>
      <c r="H375" s="225">
        <f t="shared" si="108"/>
        <v>0</v>
      </c>
      <c r="I375" s="225">
        <f t="shared" si="108"/>
        <v>0</v>
      </c>
      <c r="J375" s="225">
        <f t="shared" si="108"/>
        <v>0</v>
      </c>
      <c r="K375" s="225">
        <f t="shared" si="108"/>
        <v>0</v>
      </c>
      <c r="L375" s="225">
        <f t="shared" si="108"/>
        <v>0</v>
      </c>
      <c r="M375" s="225">
        <f t="shared" si="108"/>
        <v>0</v>
      </c>
      <c r="N375" s="221">
        <f t="shared" si="94"/>
        <v>0</v>
      </c>
      <c r="O375" s="221">
        <f t="shared" si="94"/>
        <v>0</v>
      </c>
      <c r="P375" s="239">
        <f>P376</f>
        <v>0</v>
      </c>
    </row>
    <row r="376" spans="1:16" ht="11.25">
      <c r="A376" s="195">
        <v>439023</v>
      </c>
      <c r="B376" s="125" t="s">
        <v>3499</v>
      </c>
      <c r="C376" s="184"/>
      <c r="D376" s="125"/>
      <c r="E376" s="125"/>
      <c r="F376" s="224"/>
      <c r="G376" s="224"/>
      <c r="H376" s="224"/>
      <c r="I376" s="224"/>
      <c r="J376" s="224"/>
      <c r="K376" s="224"/>
      <c r="L376" s="223">
        <v>0</v>
      </c>
      <c r="M376" s="223">
        <v>0</v>
      </c>
      <c r="N376" s="221">
        <f t="shared" si="94"/>
        <v>0</v>
      </c>
      <c r="O376" s="221">
        <f t="shared" si="94"/>
        <v>0</v>
      </c>
      <c r="P376" s="239">
        <f>+C376+M376-L376</f>
        <v>0</v>
      </c>
    </row>
    <row r="377" spans="1:16" ht="22.5">
      <c r="A377" s="194">
        <v>439500</v>
      </c>
      <c r="B377" s="124" t="s">
        <v>1610</v>
      </c>
      <c r="C377" s="225">
        <f aca="true" t="shared" si="109" ref="C377:M377">C378</f>
        <v>0</v>
      </c>
      <c r="D377" s="225">
        <f t="shared" si="109"/>
        <v>0</v>
      </c>
      <c r="E377" s="225">
        <f t="shared" si="109"/>
        <v>0</v>
      </c>
      <c r="F377" s="225">
        <f t="shared" si="109"/>
        <v>0</v>
      </c>
      <c r="G377" s="225">
        <f t="shared" si="109"/>
        <v>0</v>
      </c>
      <c r="H377" s="225">
        <f t="shared" si="109"/>
        <v>0</v>
      </c>
      <c r="I377" s="225">
        <f t="shared" si="109"/>
        <v>0</v>
      </c>
      <c r="J377" s="225">
        <f t="shared" si="109"/>
        <v>0</v>
      </c>
      <c r="K377" s="225">
        <f t="shared" si="109"/>
        <v>0</v>
      </c>
      <c r="L377" s="225">
        <f t="shared" si="109"/>
        <v>0</v>
      </c>
      <c r="M377" s="225">
        <f t="shared" si="109"/>
        <v>0</v>
      </c>
      <c r="N377" s="221">
        <f t="shared" si="94"/>
        <v>0</v>
      </c>
      <c r="O377" s="221">
        <f t="shared" si="94"/>
        <v>0</v>
      </c>
      <c r="P377" s="239">
        <f>P378</f>
        <v>0</v>
      </c>
    </row>
    <row r="378" spans="1:16" ht="11.25">
      <c r="A378" s="195">
        <v>439501</v>
      </c>
      <c r="B378" s="125" t="s">
        <v>3478</v>
      </c>
      <c r="C378" s="184">
        <v>0</v>
      </c>
      <c r="D378" s="125">
        <v>0</v>
      </c>
      <c r="E378" s="125">
        <v>0</v>
      </c>
      <c r="F378" s="224"/>
      <c r="G378" s="224"/>
      <c r="H378" s="224"/>
      <c r="I378" s="224"/>
      <c r="J378" s="224"/>
      <c r="K378" s="224"/>
      <c r="L378" s="223">
        <v>0</v>
      </c>
      <c r="M378" s="223">
        <v>0</v>
      </c>
      <c r="N378" s="221">
        <f t="shared" si="94"/>
        <v>0</v>
      </c>
      <c r="O378" s="221">
        <f t="shared" si="94"/>
        <v>0</v>
      </c>
      <c r="P378" s="239">
        <f>+C378+M378-L378</f>
        <v>0</v>
      </c>
    </row>
    <row r="379" spans="1:16" ht="11.25">
      <c r="A379" s="194">
        <v>440000</v>
      </c>
      <c r="B379" s="124" t="s">
        <v>1611</v>
      </c>
      <c r="C379" s="225">
        <f aca="true" t="shared" si="110" ref="C379:M380">C380</f>
        <v>0</v>
      </c>
      <c r="D379" s="225">
        <f t="shared" si="110"/>
        <v>0</v>
      </c>
      <c r="E379" s="225">
        <f t="shared" si="110"/>
        <v>0</v>
      </c>
      <c r="F379" s="225">
        <f t="shared" si="110"/>
        <v>0</v>
      </c>
      <c r="G379" s="225">
        <f t="shared" si="110"/>
        <v>0</v>
      </c>
      <c r="H379" s="225">
        <f t="shared" si="110"/>
        <v>0</v>
      </c>
      <c r="I379" s="225">
        <f t="shared" si="110"/>
        <v>0</v>
      </c>
      <c r="J379" s="225">
        <f t="shared" si="110"/>
        <v>0</v>
      </c>
      <c r="K379" s="225">
        <f t="shared" si="110"/>
        <v>0</v>
      </c>
      <c r="L379" s="225">
        <f t="shared" si="110"/>
        <v>0</v>
      </c>
      <c r="M379" s="225">
        <f t="shared" si="110"/>
        <v>0</v>
      </c>
      <c r="N379" s="221">
        <f t="shared" si="94"/>
        <v>0</v>
      </c>
      <c r="O379" s="221">
        <f t="shared" si="94"/>
        <v>0</v>
      </c>
      <c r="P379" s="239">
        <f>P380</f>
        <v>0</v>
      </c>
    </row>
    <row r="380" spans="1:16" ht="22.5">
      <c r="A380" s="194">
        <v>440300</v>
      </c>
      <c r="B380" s="124" t="s">
        <v>1612</v>
      </c>
      <c r="C380" s="225">
        <f t="shared" si="110"/>
        <v>0</v>
      </c>
      <c r="D380" s="225">
        <f t="shared" si="110"/>
        <v>0</v>
      </c>
      <c r="E380" s="225">
        <f t="shared" si="110"/>
        <v>0</v>
      </c>
      <c r="F380" s="225">
        <f t="shared" si="110"/>
        <v>0</v>
      </c>
      <c r="G380" s="225">
        <f t="shared" si="110"/>
        <v>0</v>
      </c>
      <c r="H380" s="225">
        <f t="shared" si="110"/>
        <v>0</v>
      </c>
      <c r="I380" s="225">
        <f t="shared" si="110"/>
        <v>0</v>
      </c>
      <c r="J380" s="225">
        <f t="shared" si="110"/>
        <v>0</v>
      </c>
      <c r="K380" s="225">
        <f t="shared" si="110"/>
        <v>0</v>
      </c>
      <c r="L380" s="225">
        <f t="shared" si="110"/>
        <v>0</v>
      </c>
      <c r="M380" s="225">
        <f t="shared" si="110"/>
        <v>0</v>
      </c>
      <c r="N380" s="221">
        <f t="shared" si="94"/>
        <v>0</v>
      </c>
      <c r="O380" s="221">
        <f t="shared" si="94"/>
        <v>0</v>
      </c>
      <c r="P380" s="239">
        <f>P381</f>
        <v>0</v>
      </c>
    </row>
    <row r="381" spans="1:16" ht="11.25">
      <c r="A381" s="195">
        <v>440301</v>
      </c>
      <c r="B381" s="125" t="s">
        <v>1613</v>
      </c>
      <c r="C381" s="184">
        <v>0</v>
      </c>
      <c r="D381" s="125">
        <v>0</v>
      </c>
      <c r="E381" s="125">
        <v>0</v>
      </c>
      <c r="F381" s="224"/>
      <c r="G381" s="224"/>
      <c r="H381" s="224"/>
      <c r="I381" s="224"/>
      <c r="J381" s="224"/>
      <c r="K381" s="224"/>
      <c r="L381" s="223">
        <v>0</v>
      </c>
      <c r="M381" s="223">
        <v>0</v>
      </c>
      <c r="N381" s="221">
        <f t="shared" si="94"/>
        <v>0</v>
      </c>
      <c r="O381" s="221">
        <f t="shared" si="94"/>
        <v>0</v>
      </c>
      <c r="P381" s="239">
        <f>+C381+M381-L381</f>
        <v>0</v>
      </c>
    </row>
    <row r="382" spans="1:16" ht="11.25">
      <c r="A382" s="194">
        <v>470000</v>
      </c>
      <c r="B382" s="124" t="s">
        <v>1614</v>
      </c>
      <c r="C382" s="225">
        <f aca="true" t="shared" si="111" ref="C382:M382">C383+C389+C393+C399</f>
        <v>8442510187</v>
      </c>
      <c r="D382" s="225">
        <f t="shared" si="111"/>
        <v>0</v>
      </c>
      <c r="E382" s="225">
        <f t="shared" si="111"/>
        <v>-2774447223752.48</v>
      </c>
      <c r="F382" s="225">
        <f t="shared" si="111"/>
        <v>21206503610.63</v>
      </c>
      <c r="G382" s="225">
        <f t="shared" si="111"/>
        <v>1274616398675.83</v>
      </c>
      <c r="H382" s="225">
        <f t="shared" si="111"/>
        <v>0</v>
      </c>
      <c r="I382" s="225">
        <f t="shared" si="111"/>
        <v>1097850950357.4199</v>
      </c>
      <c r="J382" s="225">
        <f t="shared" si="111"/>
        <v>12327422388700.07</v>
      </c>
      <c r="K382" s="225">
        <f t="shared" si="111"/>
        <v>1552266654501.55</v>
      </c>
      <c r="L382" s="225">
        <f t="shared" si="111"/>
        <v>61182400</v>
      </c>
      <c r="M382" s="225">
        <f t="shared" si="111"/>
        <v>3924734003</v>
      </c>
      <c r="N382" s="221">
        <f t="shared" si="94"/>
        <v>12348628892310.701</v>
      </c>
      <c r="O382" s="221">
        <f t="shared" si="94"/>
        <v>3924734003534.8</v>
      </c>
      <c r="P382" s="238">
        <f>P383+P389+P393+P399</f>
        <v>12306061790</v>
      </c>
    </row>
    <row r="383" spans="1:16" ht="22.5">
      <c r="A383" s="194">
        <v>470500</v>
      </c>
      <c r="B383" s="124" t="s">
        <v>1615</v>
      </c>
      <c r="C383" s="225">
        <f aca="true" t="shared" si="112" ref="C383:M383">SUM(C384:C388)</f>
        <v>8423808844</v>
      </c>
      <c r="D383" s="225">
        <f t="shared" si="112"/>
        <v>0</v>
      </c>
      <c r="E383" s="225">
        <f t="shared" si="112"/>
        <v>-2755969186381.5703</v>
      </c>
      <c r="F383" s="225">
        <f t="shared" si="112"/>
        <v>0</v>
      </c>
      <c r="G383" s="225">
        <f t="shared" si="112"/>
        <v>1261692503281.51</v>
      </c>
      <c r="H383" s="225">
        <f t="shared" si="112"/>
        <v>0</v>
      </c>
      <c r="I383" s="225">
        <f t="shared" si="112"/>
        <v>1064190875356.83</v>
      </c>
      <c r="J383" s="225">
        <f t="shared" si="112"/>
        <v>12224695343611.49</v>
      </c>
      <c r="K383" s="225">
        <f t="shared" si="112"/>
        <v>1493618419572.2</v>
      </c>
      <c r="L383" s="225">
        <f t="shared" si="112"/>
        <v>832</v>
      </c>
      <c r="M383" s="225">
        <f t="shared" si="112"/>
        <v>3819501798</v>
      </c>
      <c r="N383" s="221">
        <f t="shared" si="94"/>
        <v>12224695343611.49</v>
      </c>
      <c r="O383" s="221">
        <f t="shared" si="94"/>
        <v>3819501798210.54</v>
      </c>
      <c r="P383" s="239">
        <f>SUM(P384:P388)</f>
        <v>12243309810</v>
      </c>
    </row>
    <row r="384" spans="1:16" ht="11.25">
      <c r="A384" s="195">
        <v>470501</v>
      </c>
      <c r="B384" s="125" t="s">
        <v>1616</v>
      </c>
      <c r="C384" s="184">
        <v>11347532</v>
      </c>
      <c r="D384" s="125">
        <v>0</v>
      </c>
      <c r="E384" s="229">
        <v>-4536894830</v>
      </c>
      <c r="F384" s="224">
        <v>0</v>
      </c>
      <c r="G384" s="224">
        <v>972746758</v>
      </c>
      <c r="H384" s="224">
        <v>0</v>
      </c>
      <c r="I384" s="224">
        <v>1574500914</v>
      </c>
      <c r="J384" s="224">
        <v>0</v>
      </c>
      <c r="K384" s="224">
        <v>2440663376.38</v>
      </c>
      <c r="L384" s="223">
        <v>0</v>
      </c>
      <c r="M384" s="223">
        <v>4987911</v>
      </c>
      <c r="N384" s="221">
        <f t="shared" si="94"/>
        <v>0</v>
      </c>
      <c r="O384" s="221">
        <f t="shared" si="94"/>
        <v>4987911048.38</v>
      </c>
      <c r="P384" s="239">
        <f>+C384+M384-L384</f>
        <v>16335443</v>
      </c>
    </row>
    <row r="385" spans="1:16" ht="11.25">
      <c r="A385" s="195">
        <v>470502</v>
      </c>
      <c r="B385" s="125" t="s">
        <v>1617</v>
      </c>
      <c r="C385" s="184">
        <v>1594730</v>
      </c>
      <c r="D385" s="125">
        <v>0</v>
      </c>
      <c r="E385" s="229">
        <v>-568112572.21</v>
      </c>
      <c r="F385" s="224">
        <v>0</v>
      </c>
      <c r="G385" s="224">
        <v>151498693.74</v>
      </c>
      <c r="H385" s="224">
        <v>0</v>
      </c>
      <c r="I385" s="224">
        <v>149987766</v>
      </c>
      <c r="J385" s="224">
        <v>8320000</v>
      </c>
      <c r="K385" s="224">
        <v>391958753.82</v>
      </c>
      <c r="L385" s="223">
        <v>832</v>
      </c>
      <c r="M385" s="223">
        <v>693445</v>
      </c>
      <c r="N385" s="221">
        <f t="shared" si="94"/>
        <v>8320000</v>
      </c>
      <c r="O385" s="221">
        <f t="shared" si="94"/>
        <v>693445213.56</v>
      </c>
      <c r="P385" s="239">
        <f>+C385+M385-L385</f>
        <v>2287343</v>
      </c>
    </row>
    <row r="386" spans="1:16" ht="11.25">
      <c r="A386" s="195">
        <v>470505</v>
      </c>
      <c r="B386" s="125" t="s">
        <v>1618</v>
      </c>
      <c r="C386" s="184">
        <v>147211982</v>
      </c>
      <c r="D386" s="125">
        <v>0</v>
      </c>
      <c r="E386" s="229">
        <v>-33443423351.24</v>
      </c>
      <c r="F386" s="224">
        <v>0</v>
      </c>
      <c r="G386" s="224">
        <v>2647275748.42</v>
      </c>
      <c r="H386" s="224">
        <v>0</v>
      </c>
      <c r="I386" s="224">
        <v>21819104816.83</v>
      </c>
      <c r="J386" s="224">
        <v>243509512711.43</v>
      </c>
      <c r="K386" s="224">
        <v>71831150602.12</v>
      </c>
      <c r="L386" s="223"/>
      <c r="M386" s="223">
        <v>96297531</v>
      </c>
      <c r="N386" s="221">
        <f t="shared" si="94"/>
        <v>243509512711.43</v>
      </c>
      <c r="O386" s="221">
        <f t="shared" si="94"/>
        <v>96297531167.37</v>
      </c>
      <c r="P386" s="239">
        <f>+C386+M386-L386</f>
        <v>243509513</v>
      </c>
    </row>
    <row r="387" spans="1:16" ht="11.25">
      <c r="A387" s="195">
        <v>470506</v>
      </c>
      <c r="B387" s="125" t="s">
        <v>1619</v>
      </c>
      <c r="C387" s="184">
        <v>8263654600</v>
      </c>
      <c r="D387" s="125">
        <v>0</v>
      </c>
      <c r="E387" s="229">
        <v>-2717420755628.12</v>
      </c>
      <c r="F387" s="224">
        <v>0</v>
      </c>
      <c r="G387" s="224">
        <v>1257920982081.35</v>
      </c>
      <c r="H387" s="224">
        <v>0</v>
      </c>
      <c r="I387" s="224">
        <v>1040647281860</v>
      </c>
      <c r="J387" s="224">
        <v>11981177510900.06</v>
      </c>
      <c r="K387" s="224">
        <v>1418954646839.88</v>
      </c>
      <c r="L387" s="223"/>
      <c r="M387" s="223">
        <v>3717522911</v>
      </c>
      <c r="N387" s="221">
        <f t="shared" si="94"/>
        <v>11981177510900.06</v>
      </c>
      <c r="O387" s="221">
        <f t="shared" si="94"/>
        <v>3717522910781.23</v>
      </c>
      <c r="P387" s="239">
        <f>+C387+M387-L387</f>
        <v>11981177511</v>
      </c>
    </row>
    <row r="388" spans="1:16" ht="11.25">
      <c r="A388" s="195">
        <v>470507</v>
      </c>
      <c r="B388" s="125" t="s">
        <v>1620</v>
      </c>
      <c r="C388" s="184">
        <v>0</v>
      </c>
      <c r="D388" s="125">
        <v>0</v>
      </c>
      <c r="E388" s="229">
        <v>0</v>
      </c>
      <c r="F388" s="224"/>
      <c r="G388" s="224"/>
      <c r="H388" s="224"/>
      <c r="I388" s="224"/>
      <c r="J388" s="224"/>
      <c r="K388" s="224"/>
      <c r="L388" s="223">
        <v>0</v>
      </c>
      <c r="M388" s="223">
        <v>0</v>
      </c>
      <c r="N388" s="221">
        <f t="shared" si="94"/>
        <v>0</v>
      </c>
      <c r="O388" s="221">
        <f t="shared" si="94"/>
        <v>0</v>
      </c>
      <c r="P388" s="239">
        <f>+C388+M388-L388</f>
        <v>0</v>
      </c>
    </row>
    <row r="389" spans="1:16" ht="11.25">
      <c r="A389" s="194">
        <v>472000</v>
      </c>
      <c r="B389" s="124" t="s">
        <v>1621</v>
      </c>
      <c r="C389" s="225">
        <f aca="true" t="shared" si="113" ref="C389:M389">SUM(C390:C392)</f>
        <v>797</v>
      </c>
      <c r="D389" s="225">
        <f t="shared" si="113"/>
        <v>0</v>
      </c>
      <c r="E389" s="225">
        <f t="shared" si="113"/>
        <v>-624495686.13</v>
      </c>
      <c r="F389" s="225">
        <f t="shared" si="113"/>
        <v>0</v>
      </c>
      <c r="G389" s="225">
        <f t="shared" si="113"/>
        <v>0</v>
      </c>
      <c r="H389" s="225">
        <f t="shared" si="113"/>
        <v>0</v>
      </c>
      <c r="I389" s="225">
        <f t="shared" si="113"/>
        <v>0</v>
      </c>
      <c r="J389" s="225">
        <f t="shared" si="113"/>
        <v>797220</v>
      </c>
      <c r="K389" s="225">
        <f t="shared" si="113"/>
        <v>0</v>
      </c>
      <c r="L389" s="225">
        <f t="shared" si="113"/>
        <v>0</v>
      </c>
      <c r="M389" s="225">
        <f t="shared" si="113"/>
        <v>0</v>
      </c>
      <c r="N389" s="221">
        <f t="shared" si="94"/>
        <v>797220</v>
      </c>
      <c r="O389" s="221">
        <f t="shared" si="94"/>
        <v>0</v>
      </c>
      <c r="P389" s="239">
        <f>SUM(P390:P392)</f>
        <v>797</v>
      </c>
    </row>
    <row r="390" spans="1:16" ht="11.25">
      <c r="A390" s="195">
        <v>472002</v>
      </c>
      <c r="B390" s="125" t="s">
        <v>1603</v>
      </c>
      <c r="C390" s="184">
        <v>797</v>
      </c>
      <c r="D390" s="125">
        <v>0</v>
      </c>
      <c r="E390" s="229">
        <v>-797220</v>
      </c>
      <c r="F390" s="224"/>
      <c r="G390" s="224"/>
      <c r="H390" s="224"/>
      <c r="I390" s="224"/>
      <c r="J390" s="224">
        <v>797220</v>
      </c>
      <c r="K390" s="224">
        <v>0</v>
      </c>
      <c r="L390" s="223"/>
      <c r="M390" s="223">
        <v>0</v>
      </c>
      <c r="N390" s="221">
        <f t="shared" si="94"/>
        <v>797220</v>
      </c>
      <c r="O390" s="221">
        <f t="shared" si="94"/>
        <v>0</v>
      </c>
      <c r="P390" s="239">
        <f>+C390+M390-L390</f>
        <v>797</v>
      </c>
    </row>
    <row r="391" spans="1:16" ht="11.25">
      <c r="A391" s="195">
        <v>472003</v>
      </c>
      <c r="B391" s="125" t="s">
        <v>1622</v>
      </c>
      <c r="C391" s="184">
        <v>0</v>
      </c>
      <c r="D391" s="125">
        <v>0</v>
      </c>
      <c r="E391" s="229">
        <v>0</v>
      </c>
      <c r="F391" s="224"/>
      <c r="G391" s="224"/>
      <c r="H391" s="224"/>
      <c r="I391" s="224"/>
      <c r="J391" s="224"/>
      <c r="K391" s="224"/>
      <c r="L391" s="223">
        <v>0</v>
      </c>
      <c r="M391" s="223">
        <v>0</v>
      </c>
      <c r="N391" s="221">
        <f t="shared" si="94"/>
        <v>0</v>
      </c>
      <c r="O391" s="221">
        <f t="shared" si="94"/>
        <v>0</v>
      </c>
      <c r="P391" s="239">
        <f>+C391+M391-L391</f>
        <v>0</v>
      </c>
    </row>
    <row r="392" spans="1:16" ht="11.25">
      <c r="A392" s="195">
        <v>472005</v>
      </c>
      <c r="B392" s="125" t="s">
        <v>1623</v>
      </c>
      <c r="C392" s="184">
        <v>0</v>
      </c>
      <c r="D392" s="125">
        <v>0</v>
      </c>
      <c r="E392" s="229">
        <v>-623698466.13</v>
      </c>
      <c r="F392" s="224"/>
      <c r="G392" s="224"/>
      <c r="H392" s="224"/>
      <c r="I392" s="224"/>
      <c r="J392" s="224"/>
      <c r="K392" s="224"/>
      <c r="L392" s="223">
        <v>0</v>
      </c>
      <c r="M392" s="223">
        <v>0</v>
      </c>
      <c r="N392" s="221">
        <f t="shared" si="94"/>
        <v>0</v>
      </c>
      <c r="O392" s="221">
        <f t="shared" si="94"/>
        <v>0</v>
      </c>
      <c r="P392" s="239">
        <f>+C392+M392-L392</f>
        <v>0</v>
      </c>
    </row>
    <row r="393" spans="1:16" ht="22.5">
      <c r="A393" s="194">
        <v>472200</v>
      </c>
      <c r="B393" s="124" t="s">
        <v>1624</v>
      </c>
      <c r="C393" s="225">
        <f aca="true" t="shared" si="114" ref="C393:M393">SUM(C394:C398)</f>
        <v>18696028</v>
      </c>
      <c r="D393" s="225">
        <f t="shared" si="114"/>
        <v>0</v>
      </c>
      <c r="E393" s="225">
        <f t="shared" si="114"/>
        <v>-17849023587.979996</v>
      </c>
      <c r="F393" s="225">
        <f t="shared" si="114"/>
        <v>21206503610.63</v>
      </c>
      <c r="G393" s="225">
        <f t="shared" si="114"/>
        <v>12923895394.32</v>
      </c>
      <c r="H393" s="225">
        <f t="shared" si="114"/>
        <v>0</v>
      </c>
      <c r="I393" s="225">
        <f t="shared" si="114"/>
        <v>33660075000.590004</v>
      </c>
      <c r="J393" s="225">
        <f t="shared" si="114"/>
        <v>102721729771.78</v>
      </c>
      <c r="K393" s="225">
        <f t="shared" si="114"/>
        <v>58648234929.350006</v>
      </c>
      <c r="L393" s="225">
        <f t="shared" si="114"/>
        <v>61181568</v>
      </c>
      <c r="M393" s="225">
        <f t="shared" si="114"/>
        <v>105232205</v>
      </c>
      <c r="N393" s="221">
        <f t="shared" si="94"/>
        <v>123928233382.41</v>
      </c>
      <c r="O393" s="221">
        <f t="shared" si="94"/>
        <v>105232205324.26001</v>
      </c>
      <c r="P393" s="239">
        <f>SUM(P394:P398)</f>
        <v>62746665</v>
      </c>
    </row>
    <row r="394" spans="1:16" ht="11.25">
      <c r="A394" s="194">
        <v>472201</v>
      </c>
      <c r="B394" s="125" t="s">
        <v>1625</v>
      </c>
      <c r="C394" s="226"/>
      <c r="D394" s="124"/>
      <c r="E394" s="124"/>
      <c r="F394" s="224"/>
      <c r="G394" s="224"/>
      <c r="H394" s="224"/>
      <c r="I394" s="224"/>
      <c r="J394" s="224">
        <v>19162012766</v>
      </c>
      <c r="K394" s="224">
        <v>19162012766</v>
      </c>
      <c r="L394" s="223">
        <v>0</v>
      </c>
      <c r="M394" s="223">
        <v>19162013</v>
      </c>
      <c r="N394" s="221">
        <f t="shared" si="94"/>
        <v>19162012766</v>
      </c>
      <c r="O394" s="221">
        <f t="shared" si="94"/>
        <v>19162012766</v>
      </c>
      <c r="P394" s="239">
        <f>+C394+M394-L394</f>
        <v>19162013</v>
      </c>
    </row>
    <row r="395" spans="1:16" ht="11.25">
      <c r="A395" s="195">
        <v>472203</v>
      </c>
      <c r="B395" s="125" t="s">
        <v>1626</v>
      </c>
      <c r="C395" s="184">
        <v>1990733</v>
      </c>
      <c r="D395" s="125">
        <v>0</v>
      </c>
      <c r="E395" s="229">
        <v>1990733</v>
      </c>
      <c r="F395" s="224"/>
      <c r="G395" s="224"/>
      <c r="H395" s="224">
        <v>0</v>
      </c>
      <c r="I395" s="224">
        <v>21845176863</v>
      </c>
      <c r="J395" s="224">
        <v>29404216063</v>
      </c>
      <c r="K395" s="224">
        <v>5568305722</v>
      </c>
      <c r="L395" s="223">
        <v>0</v>
      </c>
      <c r="M395" s="223">
        <v>27413483</v>
      </c>
      <c r="N395" s="221">
        <f aca="true" t="shared" si="115" ref="N395:O458">+F395+H395+J395</f>
        <v>29404216063</v>
      </c>
      <c r="O395" s="221">
        <f t="shared" si="115"/>
        <v>27413482585</v>
      </c>
      <c r="P395" s="239">
        <f>+C395+M395-L395</f>
        <v>29404216</v>
      </c>
    </row>
    <row r="396" spans="1:16" ht="11.25">
      <c r="A396" s="195">
        <v>472205</v>
      </c>
      <c r="B396" s="125" t="s">
        <v>1627</v>
      </c>
      <c r="C396" s="184">
        <v>6233114</v>
      </c>
      <c r="D396" s="125">
        <v>0</v>
      </c>
      <c r="E396" s="229">
        <v>-511574737.07</v>
      </c>
      <c r="F396" s="224">
        <v>0</v>
      </c>
      <c r="G396" s="224">
        <v>1751967789.11</v>
      </c>
      <c r="H396" s="224">
        <v>0</v>
      </c>
      <c r="I396" s="224">
        <v>726019080.22</v>
      </c>
      <c r="J396" s="224">
        <v>14180435871.03</v>
      </c>
      <c r="K396" s="224">
        <v>5469335495.97</v>
      </c>
      <c r="L396" s="223">
        <v>0</v>
      </c>
      <c r="M396" s="223">
        <v>7947322</v>
      </c>
      <c r="N396" s="221">
        <f t="shared" si="115"/>
        <v>14180435871.03</v>
      </c>
      <c r="O396" s="221">
        <f t="shared" si="115"/>
        <v>7947322365.3</v>
      </c>
      <c r="P396" s="239">
        <f>+C396+M396-L396</f>
        <v>14180436</v>
      </c>
    </row>
    <row r="397" spans="1:16" ht="11.25">
      <c r="A397" s="195">
        <v>472206</v>
      </c>
      <c r="B397" s="125" t="s">
        <v>1628</v>
      </c>
      <c r="C397" s="184">
        <v>0</v>
      </c>
      <c r="D397" s="125">
        <v>0</v>
      </c>
      <c r="E397" s="229">
        <v>0</v>
      </c>
      <c r="F397" s="224">
        <v>991944992</v>
      </c>
      <c r="G397" s="224">
        <v>991944992</v>
      </c>
      <c r="H397" s="224"/>
      <c r="I397" s="224"/>
      <c r="J397" s="224">
        <v>901381282</v>
      </c>
      <c r="K397" s="224">
        <v>901381282</v>
      </c>
      <c r="L397" s="223">
        <v>1893326</v>
      </c>
      <c r="M397" s="223">
        <v>1893326</v>
      </c>
      <c r="N397" s="221">
        <f t="shared" si="115"/>
        <v>1893326274</v>
      </c>
      <c r="O397" s="221">
        <f t="shared" si="115"/>
        <v>1893326274</v>
      </c>
      <c r="P397" s="239">
        <f>+C397+M397-L397</f>
        <v>0</v>
      </c>
    </row>
    <row r="398" spans="1:16" ht="22.5">
      <c r="A398" s="195">
        <v>472290</v>
      </c>
      <c r="B398" s="125" t="s">
        <v>1629</v>
      </c>
      <c r="C398" s="184">
        <v>10472181</v>
      </c>
      <c r="D398" s="125">
        <v>0</v>
      </c>
      <c r="E398" s="229">
        <v>-17339439583.909996</v>
      </c>
      <c r="F398" s="224">
        <v>20214558618.63</v>
      </c>
      <c r="G398" s="224">
        <v>10179982613.21</v>
      </c>
      <c r="H398" s="224">
        <v>0</v>
      </c>
      <c r="I398" s="224">
        <v>11088879057.37</v>
      </c>
      <c r="J398" s="224">
        <v>39073683789.75</v>
      </c>
      <c r="K398" s="224">
        <v>27547199663.38</v>
      </c>
      <c r="L398" s="223">
        <v>59288242</v>
      </c>
      <c r="M398" s="223">
        <v>48816061</v>
      </c>
      <c r="N398" s="221">
        <f t="shared" si="115"/>
        <v>59288242408.380005</v>
      </c>
      <c r="O398" s="221">
        <f t="shared" si="115"/>
        <v>48816061333.96001</v>
      </c>
      <c r="P398" s="239">
        <f>+C398+M398-L398</f>
        <v>0</v>
      </c>
    </row>
    <row r="399" spans="1:16" ht="11.25">
      <c r="A399" s="194">
        <v>472500</v>
      </c>
      <c r="B399" s="124" t="s">
        <v>1630</v>
      </c>
      <c r="C399" s="220">
        <f aca="true" t="shared" si="116" ref="C399:M399">C400</f>
        <v>4518</v>
      </c>
      <c r="D399" s="220">
        <f t="shared" si="116"/>
        <v>0</v>
      </c>
      <c r="E399" s="220">
        <f t="shared" si="116"/>
        <v>-4518096.8</v>
      </c>
      <c r="F399" s="220">
        <f t="shared" si="116"/>
        <v>0</v>
      </c>
      <c r="G399" s="220">
        <f t="shared" si="116"/>
        <v>0</v>
      </c>
      <c r="H399" s="220">
        <f t="shared" si="116"/>
        <v>0</v>
      </c>
      <c r="I399" s="220">
        <f t="shared" si="116"/>
        <v>0</v>
      </c>
      <c r="J399" s="220">
        <f t="shared" si="116"/>
        <v>4518096.8</v>
      </c>
      <c r="K399" s="220">
        <f t="shared" si="116"/>
        <v>0</v>
      </c>
      <c r="L399" s="220">
        <f t="shared" si="116"/>
        <v>0</v>
      </c>
      <c r="M399" s="220">
        <f t="shared" si="116"/>
        <v>0</v>
      </c>
      <c r="N399" s="221">
        <f t="shared" si="115"/>
        <v>4518096.8</v>
      </c>
      <c r="O399" s="221">
        <f t="shared" si="115"/>
        <v>0</v>
      </c>
      <c r="P399" s="238">
        <f>P400</f>
        <v>4518</v>
      </c>
    </row>
    <row r="400" spans="1:16" ht="11.25">
      <c r="A400" s="195">
        <v>472501</v>
      </c>
      <c r="B400" s="125" t="s">
        <v>889</v>
      </c>
      <c r="C400" s="184">
        <v>4518</v>
      </c>
      <c r="D400" s="125">
        <v>0</v>
      </c>
      <c r="E400" s="229">
        <v>-4518096.8</v>
      </c>
      <c r="F400" s="224"/>
      <c r="G400" s="224"/>
      <c r="H400" s="224">
        <v>0</v>
      </c>
      <c r="I400" s="224">
        <v>0</v>
      </c>
      <c r="J400" s="224">
        <v>4518096.8</v>
      </c>
      <c r="K400" s="224">
        <v>0</v>
      </c>
      <c r="L400" s="223">
        <v>0</v>
      </c>
      <c r="M400" s="223">
        <v>0</v>
      </c>
      <c r="N400" s="221">
        <f t="shared" si="115"/>
        <v>4518096.8</v>
      </c>
      <c r="O400" s="221">
        <f t="shared" si="115"/>
        <v>0</v>
      </c>
      <c r="P400" s="239">
        <f>+C400+M400-L400</f>
        <v>4518</v>
      </c>
    </row>
    <row r="401" spans="1:16" ht="11.25">
      <c r="A401" s="194">
        <v>480000</v>
      </c>
      <c r="B401" s="124" t="s">
        <v>1631</v>
      </c>
      <c r="C401" s="225">
        <f aca="true" t="shared" si="117" ref="C401:M401">C402+C410+C412+C424</f>
        <v>134622862</v>
      </c>
      <c r="D401" s="225">
        <f t="shared" si="117"/>
        <v>0</v>
      </c>
      <c r="E401" s="225">
        <f t="shared" si="117"/>
        <v>-2652745703.0600004</v>
      </c>
      <c r="F401" s="225">
        <f t="shared" si="117"/>
        <v>0</v>
      </c>
      <c r="G401" s="225">
        <f t="shared" si="117"/>
        <v>3622386873.3799996</v>
      </c>
      <c r="H401" s="225">
        <f t="shared" si="117"/>
        <v>628</v>
      </c>
      <c r="I401" s="225">
        <f t="shared" si="117"/>
        <v>26287804988.29</v>
      </c>
      <c r="J401" s="225">
        <f t="shared" si="117"/>
        <v>294199512094.08</v>
      </c>
      <c r="K401" s="225">
        <f t="shared" si="117"/>
        <v>129666457099.17</v>
      </c>
      <c r="L401" s="225">
        <f t="shared" si="117"/>
        <v>2905464</v>
      </c>
      <c r="M401" s="225">
        <f t="shared" si="117"/>
        <v>159576648</v>
      </c>
      <c r="N401" s="221">
        <f t="shared" si="115"/>
        <v>294199512722.08</v>
      </c>
      <c r="O401" s="221">
        <f t="shared" si="115"/>
        <v>159576648960.84</v>
      </c>
      <c r="P401" s="238">
        <f>P402+P410+P412+P424</f>
        <v>291294046</v>
      </c>
    </row>
    <row r="402" spans="1:16" ht="11.25">
      <c r="A402" s="194">
        <v>480500</v>
      </c>
      <c r="B402" s="124" t="s">
        <v>1632</v>
      </c>
      <c r="C402" s="225">
        <f aca="true" t="shared" si="118" ref="C402:M402">SUM(C403:C409)</f>
        <v>6864707</v>
      </c>
      <c r="D402" s="225">
        <f t="shared" si="118"/>
        <v>0</v>
      </c>
      <c r="E402" s="225">
        <f t="shared" si="118"/>
        <v>-1455864975.52</v>
      </c>
      <c r="F402" s="225">
        <f t="shared" si="118"/>
        <v>0</v>
      </c>
      <c r="G402" s="225">
        <f t="shared" si="118"/>
        <v>3560805832.3799996</v>
      </c>
      <c r="H402" s="225">
        <f t="shared" si="118"/>
        <v>0</v>
      </c>
      <c r="I402" s="225">
        <f t="shared" si="118"/>
        <v>26268738313.29</v>
      </c>
      <c r="J402" s="225">
        <f t="shared" si="118"/>
        <v>42160138839.97</v>
      </c>
      <c r="K402" s="225">
        <f t="shared" si="118"/>
        <v>5465888129.24</v>
      </c>
      <c r="L402" s="225">
        <f t="shared" si="118"/>
        <v>2449767</v>
      </c>
      <c r="M402" s="225">
        <f t="shared" si="118"/>
        <v>35295431</v>
      </c>
      <c r="N402" s="221">
        <f t="shared" si="115"/>
        <v>42160138839.97</v>
      </c>
      <c r="O402" s="221">
        <f t="shared" si="115"/>
        <v>35295432274.91</v>
      </c>
      <c r="P402" s="239">
        <f>SUM(P403:P409)</f>
        <v>39710371</v>
      </c>
    </row>
    <row r="403" spans="1:16" ht="11.25">
      <c r="A403" s="195">
        <v>480504</v>
      </c>
      <c r="B403" s="125" t="s">
        <v>1633</v>
      </c>
      <c r="C403" s="184">
        <v>0</v>
      </c>
      <c r="D403" s="125">
        <v>0</v>
      </c>
      <c r="E403" s="229">
        <v>2396340.97</v>
      </c>
      <c r="F403" s="224"/>
      <c r="G403" s="224"/>
      <c r="H403" s="224"/>
      <c r="I403" s="224"/>
      <c r="J403" s="224"/>
      <c r="K403" s="224"/>
      <c r="L403" s="223">
        <v>0</v>
      </c>
      <c r="M403" s="223">
        <v>0</v>
      </c>
      <c r="N403" s="221">
        <f t="shared" si="115"/>
        <v>0</v>
      </c>
      <c r="O403" s="221">
        <f t="shared" si="115"/>
        <v>0</v>
      </c>
      <c r="P403" s="239">
        <f aca="true" t="shared" si="119" ref="P403:P409">+C403+M403-L403</f>
        <v>0</v>
      </c>
    </row>
    <row r="404" spans="1:16" ht="11.25">
      <c r="A404" s="195">
        <v>480512</v>
      </c>
      <c r="B404" s="125" t="s">
        <v>1634</v>
      </c>
      <c r="C404" s="184">
        <v>0</v>
      </c>
      <c r="D404" s="125">
        <v>0</v>
      </c>
      <c r="E404" s="229">
        <v>0</v>
      </c>
      <c r="F404" s="224"/>
      <c r="G404" s="224"/>
      <c r="H404" s="224"/>
      <c r="I404" s="224"/>
      <c r="J404" s="224"/>
      <c r="K404" s="224"/>
      <c r="L404" s="223">
        <v>0</v>
      </c>
      <c r="M404" s="223">
        <v>0</v>
      </c>
      <c r="N404" s="221">
        <f t="shared" si="115"/>
        <v>0</v>
      </c>
      <c r="O404" s="221">
        <f t="shared" si="115"/>
        <v>0</v>
      </c>
      <c r="P404" s="239">
        <f t="shared" si="119"/>
        <v>0</v>
      </c>
    </row>
    <row r="405" spans="1:16" ht="11.25">
      <c r="A405" s="195">
        <v>480522</v>
      </c>
      <c r="B405" s="125" t="s">
        <v>1635</v>
      </c>
      <c r="C405" s="184">
        <v>999863</v>
      </c>
      <c r="D405" s="125">
        <v>0</v>
      </c>
      <c r="E405" s="229">
        <v>-92467304.44999999</v>
      </c>
      <c r="F405" s="224">
        <v>0</v>
      </c>
      <c r="G405" s="224">
        <v>286553757</v>
      </c>
      <c r="H405" s="224">
        <v>0</v>
      </c>
      <c r="I405" s="224">
        <v>103832402</v>
      </c>
      <c r="J405" s="224">
        <v>2902246549.75</v>
      </c>
      <c r="K405" s="224">
        <v>1511997157.56</v>
      </c>
      <c r="L405" s="223">
        <v>2449767</v>
      </c>
      <c r="M405" s="223">
        <v>1902383</v>
      </c>
      <c r="N405" s="221">
        <f t="shared" si="115"/>
        <v>2902246549.75</v>
      </c>
      <c r="O405" s="221">
        <f t="shared" si="115"/>
        <v>1902383316.56</v>
      </c>
      <c r="P405" s="239">
        <f t="shared" si="119"/>
        <v>452479</v>
      </c>
    </row>
    <row r="406" spans="1:16" ht="11.25">
      <c r="A406" s="195">
        <v>480544</v>
      </c>
      <c r="B406" s="125" t="s">
        <v>1636</v>
      </c>
      <c r="C406" s="184">
        <v>0</v>
      </c>
      <c r="D406" s="125">
        <v>0</v>
      </c>
      <c r="E406" s="229">
        <v>0</v>
      </c>
      <c r="F406" s="224"/>
      <c r="G406" s="224"/>
      <c r="H406" s="224"/>
      <c r="I406" s="224"/>
      <c r="J406" s="224"/>
      <c r="K406" s="224"/>
      <c r="L406" s="223">
        <v>0</v>
      </c>
      <c r="M406" s="223">
        <v>0</v>
      </c>
      <c r="N406" s="221">
        <f t="shared" si="115"/>
        <v>0</v>
      </c>
      <c r="O406" s="221">
        <f t="shared" si="115"/>
        <v>0</v>
      </c>
      <c r="P406" s="239">
        <f t="shared" si="119"/>
        <v>0</v>
      </c>
    </row>
    <row r="407" spans="1:16" ht="22.5">
      <c r="A407" s="195">
        <v>480545</v>
      </c>
      <c r="B407" s="125" t="s">
        <v>1637</v>
      </c>
      <c r="C407" s="184">
        <v>5864844</v>
      </c>
      <c r="D407" s="125">
        <v>0</v>
      </c>
      <c r="E407" s="229">
        <v>-1365794012.04</v>
      </c>
      <c r="F407" s="224">
        <v>0</v>
      </c>
      <c r="G407" s="224">
        <v>3042896838.54</v>
      </c>
      <c r="H407" s="224">
        <v>0</v>
      </c>
      <c r="I407" s="224">
        <v>1114502266.65</v>
      </c>
      <c r="J407" s="224">
        <v>11517122717.31</v>
      </c>
      <c r="K407" s="224">
        <v>1494880280.25</v>
      </c>
      <c r="L407" s="223"/>
      <c r="M407" s="223">
        <v>5652279</v>
      </c>
      <c r="N407" s="221">
        <f t="shared" si="115"/>
        <v>11517122717.31</v>
      </c>
      <c r="O407" s="221">
        <f t="shared" si="115"/>
        <v>5652279385.440001</v>
      </c>
      <c r="P407" s="239">
        <f t="shared" si="119"/>
        <v>11517123</v>
      </c>
    </row>
    <row r="408" spans="1:16" ht="22.5">
      <c r="A408" s="195">
        <v>480555</v>
      </c>
      <c r="B408" s="125" t="s">
        <v>1638</v>
      </c>
      <c r="C408" s="184"/>
      <c r="D408" s="125"/>
      <c r="E408" s="229"/>
      <c r="F408" s="224"/>
      <c r="G408" s="224">
        <v>5214268.2</v>
      </c>
      <c r="H408" s="224">
        <v>0</v>
      </c>
      <c r="I408" s="224">
        <v>622500</v>
      </c>
      <c r="J408" s="224">
        <v>15079431.88</v>
      </c>
      <c r="K408" s="224">
        <v>9242663.68</v>
      </c>
      <c r="L408" s="223"/>
      <c r="M408" s="223">
        <v>15079</v>
      </c>
      <c r="N408" s="221">
        <f t="shared" si="115"/>
        <v>15079431.88</v>
      </c>
      <c r="O408" s="221">
        <f t="shared" si="115"/>
        <v>15079431.879999999</v>
      </c>
      <c r="P408" s="239">
        <f t="shared" si="119"/>
        <v>15079</v>
      </c>
    </row>
    <row r="409" spans="1:16" ht="11.25">
      <c r="A409" s="195">
        <v>480590</v>
      </c>
      <c r="B409" s="125" t="s">
        <v>1639</v>
      </c>
      <c r="C409" s="184">
        <v>0</v>
      </c>
      <c r="D409" s="125">
        <v>0</v>
      </c>
      <c r="E409" s="229">
        <v>0</v>
      </c>
      <c r="F409" s="224"/>
      <c r="G409" s="224">
        <v>226140968.64</v>
      </c>
      <c r="H409" s="224">
        <v>0</v>
      </c>
      <c r="I409" s="224">
        <v>25049781144.64</v>
      </c>
      <c r="J409" s="224">
        <v>27725690141.03</v>
      </c>
      <c r="K409" s="224">
        <v>2449768027.75</v>
      </c>
      <c r="L409" s="223"/>
      <c r="M409" s="223">
        <v>27725690</v>
      </c>
      <c r="N409" s="221">
        <f t="shared" si="115"/>
        <v>27725690141.03</v>
      </c>
      <c r="O409" s="221">
        <f t="shared" si="115"/>
        <v>27725690141.03</v>
      </c>
      <c r="P409" s="239">
        <f t="shared" si="119"/>
        <v>27725690</v>
      </c>
    </row>
    <row r="410" spans="1:16" ht="22.5">
      <c r="A410" s="194">
        <v>480700</v>
      </c>
      <c r="B410" s="124" t="s">
        <v>1640</v>
      </c>
      <c r="C410" s="225">
        <f aca="true" t="shared" si="120" ref="C410:M410">C411</f>
        <v>0</v>
      </c>
      <c r="D410" s="225">
        <f t="shared" si="120"/>
        <v>0</v>
      </c>
      <c r="E410" s="225">
        <f t="shared" si="120"/>
        <v>0</v>
      </c>
      <c r="F410" s="225">
        <f t="shared" si="120"/>
        <v>0</v>
      </c>
      <c r="G410" s="225">
        <f t="shared" si="120"/>
        <v>0</v>
      </c>
      <c r="H410" s="225">
        <f t="shared" si="120"/>
        <v>0</v>
      </c>
      <c r="I410" s="225">
        <f t="shared" si="120"/>
        <v>0</v>
      </c>
      <c r="J410" s="225">
        <f t="shared" si="120"/>
        <v>0</v>
      </c>
      <c r="K410" s="225">
        <f t="shared" si="120"/>
        <v>0</v>
      </c>
      <c r="L410" s="225">
        <f t="shared" si="120"/>
        <v>0</v>
      </c>
      <c r="M410" s="225">
        <f t="shared" si="120"/>
        <v>0</v>
      </c>
      <c r="N410" s="221">
        <f t="shared" si="115"/>
        <v>0</v>
      </c>
      <c r="O410" s="221">
        <f t="shared" si="115"/>
        <v>0</v>
      </c>
      <c r="P410" s="239">
        <f>P411</f>
        <v>0</v>
      </c>
    </row>
    <row r="411" spans="1:16" ht="22.5">
      <c r="A411" s="195">
        <v>480725</v>
      </c>
      <c r="B411" s="125" t="s">
        <v>1641</v>
      </c>
      <c r="C411" s="184">
        <v>0</v>
      </c>
      <c r="D411" s="125">
        <v>0</v>
      </c>
      <c r="E411" s="229">
        <v>0</v>
      </c>
      <c r="F411" s="224"/>
      <c r="G411" s="224"/>
      <c r="H411" s="224"/>
      <c r="I411" s="224"/>
      <c r="J411" s="224"/>
      <c r="K411" s="224"/>
      <c r="L411" s="223">
        <v>0</v>
      </c>
      <c r="M411" s="223">
        <v>0</v>
      </c>
      <c r="N411" s="221">
        <f t="shared" si="115"/>
        <v>0</v>
      </c>
      <c r="O411" s="221">
        <f t="shared" si="115"/>
        <v>0</v>
      </c>
      <c r="P411" s="239">
        <f>+C411+M411-L411</f>
        <v>0</v>
      </c>
    </row>
    <row r="412" spans="1:16" ht="11.25">
      <c r="A412" s="194">
        <v>481000</v>
      </c>
      <c r="B412" s="124" t="s">
        <v>1642</v>
      </c>
      <c r="C412" s="220">
        <f aca="true" t="shared" si="121" ref="C412:M412">SUM(C413:C423)</f>
        <v>567598</v>
      </c>
      <c r="D412" s="220">
        <f t="shared" si="121"/>
        <v>0</v>
      </c>
      <c r="E412" s="220">
        <f t="shared" si="121"/>
        <v>2702881153</v>
      </c>
      <c r="F412" s="220">
        <f t="shared" si="121"/>
        <v>0</v>
      </c>
      <c r="G412" s="220">
        <f t="shared" si="121"/>
        <v>55787900</v>
      </c>
      <c r="H412" s="220">
        <f t="shared" si="121"/>
        <v>0</v>
      </c>
      <c r="I412" s="220">
        <f t="shared" si="121"/>
        <v>19065796</v>
      </c>
      <c r="J412" s="220">
        <f t="shared" si="121"/>
        <v>1355182415.97</v>
      </c>
      <c r="K412" s="220">
        <f t="shared" si="121"/>
        <v>712728275.15</v>
      </c>
      <c r="L412" s="220">
        <f t="shared" si="121"/>
        <v>123420</v>
      </c>
      <c r="M412" s="220">
        <f t="shared" si="121"/>
        <v>787583</v>
      </c>
      <c r="N412" s="221">
        <f t="shared" si="115"/>
        <v>1355182415.97</v>
      </c>
      <c r="O412" s="221">
        <f t="shared" si="115"/>
        <v>787581971.15</v>
      </c>
      <c r="P412" s="238">
        <f>SUM(P413:P423)</f>
        <v>1231761</v>
      </c>
    </row>
    <row r="413" spans="1:16" ht="11.25">
      <c r="A413" s="195">
        <v>481001</v>
      </c>
      <c r="B413" s="125" t="s">
        <v>1643</v>
      </c>
      <c r="C413" s="184">
        <v>0</v>
      </c>
      <c r="D413" s="125">
        <v>0</v>
      </c>
      <c r="E413" s="229">
        <v>0</v>
      </c>
      <c r="F413" s="224"/>
      <c r="G413" s="224"/>
      <c r="H413" s="224"/>
      <c r="I413" s="224"/>
      <c r="J413" s="224"/>
      <c r="K413" s="224"/>
      <c r="L413" s="223">
        <v>0</v>
      </c>
      <c r="M413" s="223">
        <v>0</v>
      </c>
      <c r="N413" s="221">
        <f t="shared" si="115"/>
        <v>0</v>
      </c>
      <c r="O413" s="221">
        <f t="shared" si="115"/>
        <v>0</v>
      </c>
      <c r="P413" s="239">
        <f aca="true" t="shared" si="122" ref="P413:P423">+C413+M413-L413</f>
        <v>0</v>
      </c>
    </row>
    <row r="414" spans="1:16" ht="11.25">
      <c r="A414" s="195">
        <v>481006</v>
      </c>
      <c r="B414" s="125" t="s">
        <v>3499</v>
      </c>
      <c r="C414" s="184">
        <v>105310</v>
      </c>
      <c r="D414" s="125">
        <v>0</v>
      </c>
      <c r="E414" s="229">
        <v>-15173932</v>
      </c>
      <c r="F414" s="224">
        <v>0</v>
      </c>
      <c r="G414" s="224">
        <v>7028179</v>
      </c>
      <c r="H414" s="224">
        <v>0</v>
      </c>
      <c r="I414" s="224">
        <v>7028179</v>
      </c>
      <c r="J414" s="224">
        <v>126395702</v>
      </c>
      <c r="K414" s="224">
        <v>7028179</v>
      </c>
      <c r="L414" s="230">
        <f>33657+3000</f>
        <v>36657</v>
      </c>
      <c r="M414" s="223">
        <v>21085</v>
      </c>
      <c r="N414" s="221">
        <f t="shared" si="115"/>
        <v>126395702</v>
      </c>
      <c r="O414" s="221">
        <f t="shared" si="115"/>
        <v>21084537</v>
      </c>
      <c r="P414" s="239">
        <f t="shared" si="122"/>
        <v>89738</v>
      </c>
    </row>
    <row r="415" spans="1:16" ht="11.25">
      <c r="A415" s="195">
        <v>481007</v>
      </c>
      <c r="B415" s="125" t="s">
        <v>1644</v>
      </c>
      <c r="C415" s="184">
        <v>0</v>
      </c>
      <c r="D415" s="125">
        <v>0</v>
      </c>
      <c r="E415" s="229">
        <v>-7628179</v>
      </c>
      <c r="F415" s="224">
        <v>0</v>
      </c>
      <c r="G415" s="224">
        <v>2873</v>
      </c>
      <c r="H415" s="224">
        <v>0</v>
      </c>
      <c r="I415" s="224">
        <v>7900</v>
      </c>
      <c r="J415" s="224">
        <v>10776</v>
      </c>
      <c r="K415" s="224">
        <v>3</v>
      </c>
      <c r="L415" s="223">
        <v>8</v>
      </c>
      <c r="M415" s="223">
        <v>11</v>
      </c>
      <c r="N415" s="221">
        <f t="shared" si="115"/>
        <v>10776</v>
      </c>
      <c r="O415" s="221">
        <f t="shared" si="115"/>
        <v>10776</v>
      </c>
      <c r="P415" s="239">
        <f t="shared" si="122"/>
        <v>3</v>
      </c>
    </row>
    <row r="416" spans="1:16" ht="11.25">
      <c r="A416" s="195">
        <v>481008</v>
      </c>
      <c r="B416" s="125" t="s">
        <v>1645</v>
      </c>
      <c r="C416" s="184">
        <v>13109</v>
      </c>
      <c r="D416" s="125">
        <v>0</v>
      </c>
      <c r="E416" s="229">
        <v>43612224</v>
      </c>
      <c r="F416" s="224">
        <v>0</v>
      </c>
      <c r="G416" s="224">
        <v>288820</v>
      </c>
      <c r="H416" s="224">
        <v>0</v>
      </c>
      <c r="I416" s="224">
        <v>6388392</v>
      </c>
      <c r="J416" s="224">
        <v>19785454</v>
      </c>
      <c r="K416" s="224">
        <v>0</v>
      </c>
      <c r="L416" s="223"/>
      <c r="M416" s="223">
        <v>6677</v>
      </c>
      <c r="N416" s="221">
        <f t="shared" si="115"/>
        <v>19785454</v>
      </c>
      <c r="O416" s="221">
        <f t="shared" si="115"/>
        <v>6677212</v>
      </c>
      <c r="P416" s="239">
        <f t="shared" si="122"/>
        <v>19786</v>
      </c>
    </row>
    <row r="417" spans="1:16" ht="11.25">
      <c r="A417" s="195">
        <v>481017</v>
      </c>
      <c r="B417" s="125" t="s">
        <v>1646</v>
      </c>
      <c r="C417" s="184">
        <v>0</v>
      </c>
      <c r="D417" s="125">
        <v>0</v>
      </c>
      <c r="E417" s="229">
        <v>0</v>
      </c>
      <c r="F417" s="224"/>
      <c r="G417" s="224"/>
      <c r="H417" s="224"/>
      <c r="I417" s="224"/>
      <c r="J417" s="224"/>
      <c r="K417" s="224"/>
      <c r="L417" s="223">
        <v>0</v>
      </c>
      <c r="M417" s="223">
        <v>0</v>
      </c>
      <c r="N417" s="221">
        <f t="shared" si="115"/>
        <v>0</v>
      </c>
      <c r="O417" s="221">
        <f t="shared" si="115"/>
        <v>0</v>
      </c>
      <c r="P417" s="239">
        <f t="shared" si="122"/>
        <v>0</v>
      </c>
    </row>
    <row r="418" spans="1:16" ht="11.25">
      <c r="A418" s="195">
        <v>481018</v>
      </c>
      <c r="B418" s="125" t="s">
        <v>849</v>
      </c>
      <c r="C418" s="184">
        <v>12290</v>
      </c>
      <c r="D418" s="125">
        <v>0</v>
      </c>
      <c r="E418" s="229">
        <v>2682840225</v>
      </c>
      <c r="F418" s="224">
        <v>0</v>
      </c>
      <c r="G418" s="224">
        <v>14274</v>
      </c>
      <c r="H418" s="224"/>
      <c r="I418" s="224"/>
      <c r="J418" s="224">
        <v>14572357.91</v>
      </c>
      <c r="K418" s="224">
        <v>2266943.91</v>
      </c>
      <c r="L418" s="223">
        <v>11271</v>
      </c>
      <c r="M418" s="223">
        <v>2281</v>
      </c>
      <c r="N418" s="221">
        <f t="shared" si="115"/>
        <v>14572357.91</v>
      </c>
      <c r="O418" s="221">
        <f t="shared" si="115"/>
        <v>2281217.91</v>
      </c>
      <c r="P418" s="239">
        <f t="shared" si="122"/>
        <v>3300</v>
      </c>
    </row>
    <row r="419" spans="1:16" ht="11.25">
      <c r="A419" s="195">
        <v>481022</v>
      </c>
      <c r="B419" s="125" t="s">
        <v>1647</v>
      </c>
      <c r="C419" s="184">
        <v>18981</v>
      </c>
      <c r="D419" s="125">
        <v>0</v>
      </c>
      <c r="E419" s="229">
        <v>-906944</v>
      </c>
      <c r="F419" s="224"/>
      <c r="G419" s="224"/>
      <c r="H419" s="224"/>
      <c r="I419" s="224"/>
      <c r="J419" s="224">
        <v>653138360.5</v>
      </c>
      <c r="K419" s="224">
        <v>634157537.5</v>
      </c>
      <c r="L419" s="223"/>
      <c r="M419" s="223">
        <v>634158</v>
      </c>
      <c r="N419" s="221">
        <f t="shared" si="115"/>
        <v>653138360.5</v>
      </c>
      <c r="O419" s="221">
        <f t="shared" si="115"/>
        <v>634157537.5</v>
      </c>
      <c r="P419" s="239">
        <f t="shared" si="122"/>
        <v>653139</v>
      </c>
    </row>
    <row r="420" spans="1:16" ht="11.25">
      <c r="A420" s="195">
        <v>481023</v>
      </c>
      <c r="B420" s="125" t="s">
        <v>1648</v>
      </c>
      <c r="C420" s="184">
        <v>294072</v>
      </c>
      <c r="D420" s="125">
        <v>0</v>
      </c>
      <c r="E420" s="229">
        <v>46531</v>
      </c>
      <c r="F420" s="224">
        <v>0</v>
      </c>
      <c r="G420" s="224">
        <v>11217753</v>
      </c>
      <c r="H420" s="224">
        <v>0</v>
      </c>
      <c r="I420" s="224">
        <v>1500</v>
      </c>
      <c r="J420" s="224">
        <v>305291302.65</v>
      </c>
      <c r="K420" s="224">
        <v>0</v>
      </c>
      <c r="L420" s="223"/>
      <c r="M420" s="223">
        <v>11219</v>
      </c>
      <c r="N420" s="221">
        <f t="shared" si="115"/>
        <v>305291302.65</v>
      </c>
      <c r="O420" s="221">
        <f t="shared" si="115"/>
        <v>11219253</v>
      </c>
      <c r="P420" s="239">
        <f t="shared" si="122"/>
        <v>305291</v>
      </c>
    </row>
    <row r="421" spans="1:16" ht="11.25">
      <c r="A421" s="195">
        <v>481037</v>
      </c>
      <c r="B421" s="125" t="s">
        <v>1649</v>
      </c>
      <c r="C421" s="184">
        <v>91228</v>
      </c>
      <c r="D421" s="125">
        <v>0</v>
      </c>
      <c r="E421" s="229">
        <v>91228</v>
      </c>
      <c r="F421" s="224"/>
      <c r="G421" s="224"/>
      <c r="H421" s="224"/>
      <c r="I421" s="224"/>
      <c r="J421" s="224">
        <v>160504581.91</v>
      </c>
      <c r="K421" s="224">
        <v>69275611.74</v>
      </c>
      <c r="L421" s="223"/>
      <c r="M421" s="223">
        <v>69276</v>
      </c>
      <c r="N421" s="221">
        <f t="shared" si="115"/>
        <v>160504581.91</v>
      </c>
      <c r="O421" s="221">
        <f t="shared" si="115"/>
        <v>69275611.74</v>
      </c>
      <c r="P421" s="239">
        <f t="shared" si="122"/>
        <v>160504</v>
      </c>
    </row>
    <row r="422" spans="1:16" ht="11.25">
      <c r="A422" s="195">
        <v>481089</v>
      </c>
      <c r="B422" s="125"/>
      <c r="C422" s="184">
        <v>32608</v>
      </c>
      <c r="D422" s="125"/>
      <c r="E422" s="229"/>
      <c r="F422" s="224">
        <v>0</v>
      </c>
      <c r="G422" s="224">
        <v>37236001</v>
      </c>
      <c r="H422" s="224">
        <v>0</v>
      </c>
      <c r="I422" s="224">
        <v>5639825</v>
      </c>
      <c r="J422" s="224">
        <v>75483881</v>
      </c>
      <c r="K422" s="224">
        <v>0</v>
      </c>
      <c r="L422" s="223">
        <v>75484</v>
      </c>
      <c r="M422" s="223">
        <v>42876</v>
      </c>
      <c r="N422" s="221">
        <f t="shared" si="115"/>
        <v>75483881</v>
      </c>
      <c r="O422" s="221">
        <f t="shared" si="115"/>
        <v>42875826</v>
      </c>
      <c r="P422" s="239">
        <f t="shared" si="122"/>
        <v>0</v>
      </c>
    </row>
    <row r="423" spans="1:16" ht="11.25">
      <c r="A423" s="195">
        <v>481090</v>
      </c>
      <c r="B423" s="125" t="s">
        <v>1650</v>
      </c>
      <c r="C423" s="184">
        <v>0</v>
      </c>
      <c r="D423" s="125">
        <v>0</v>
      </c>
      <c r="E423" s="229">
        <v>0</v>
      </c>
      <c r="F423" s="224"/>
      <c r="G423" s="224"/>
      <c r="H423" s="224"/>
      <c r="I423" s="224"/>
      <c r="J423" s="224"/>
      <c r="K423" s="224"/>
      <c r="L423" s="223">
        <v>0</v>
      </c>
      <c r="M423" s="223">
        <v>0</v>
      </c>
      <c r="N423" s="221">
        <f t="shared" si="115"/>
        <v>0</v>
      </c>
      <c r="O423" s="221">
        <f t="shared" si="115"/>
        <v>0</v>
      </c>
      <c r="P423" s="239">
        <f t="shared" si="122"/>
        <v>0</v>
      </c>
    </row>
    <row r="424" spans="1:16" ht="11.25">
      <c r="A424" s="194">
        <v>481500</v>
      </c>
      <c r="B424" s="124" t="s">
        <v>1651</v>
      </c>
      <c r="C424" s="220">
        <f aca="true" t="shared" si="123" ref="C424:M424">SUM(C425:C432)</f>
        <v>127190557</v>
      </c>
      <c r="D424" s="220">
        <f t="shared" si="123"/>
        <v>0</v>
      </c>
      <c r="E424" s="220">
        <f t="shared" si="123"/>
        <v>-3899761880.5400004</v>
      </c>
      <c r="F424" s="220">
        <f t="shared" si="123"/>
        <v>0</v>
      </c>
      <c r="G424" s="220">
        <f t="shared" si="123"/>
        <v>5793141</v>
      </c>
      <c r="H424" s="220">
        <f t="shared" si="123"/>
        <v>628</v>
      </c>
      <c r="I424" s="220">
        <f t="shared" si="123"/>
        <v>879</v>
      </c>
      <c r="J424" s="220">
        <f t="shared" si="123"/>
        <v>250684190838.14</v>
      </c>
      <c r="K424" s="220">
        <f t="shared" si="123"/>
        <v>123487840694.78</v>
      </c>
      <c r="L424" s="220">
        <f t="shared" si="123"/>
        <v>332277</v>
      </c>
      <c r="M424" s="220">
        <f t="shared" si="123"/>
        <v>123493634</v>
      </c>
      <c r="N424" s="221">
        <f t="shared" si="115"/>
        <v>250684191466.14</v>
      </c>
      <c r="O424" s="221">
        <f t="shared" si="115"/>
        <v>123493634714.78</v>
      </c>
      <c r="P424" s="238">
        <f>SUM(P425:P432)</f>
        <v>250351914</v>
      </c>
    </row>
    <row r="425" spans="1:16" ht="11.25">
      <c r="A425" s="195">
        <v>481507</v>
      </c>
      <c r="B425" s="125" t="s">
        <v>1652</v>
      </c>
      <c r="C425" s="184">
        <v>0</v>
      </c>
      <c r="D425" s="125">
        <v>0</v>
      </c>
      <c r="E425" s="229">
        <v>0</v>
      </c>
      <c r="F425" s="224"/>
      <c r="G425" s="224"/>
      <c r="H425" s="224"/>
      <c r="I425" s="224"/>
      <c r="J425" s="224"/>
      <c r="K425" s="224"/>
      <c r="L425" s="223">
        <v>0</v>
      </c>
      <c r="M425" s="223">
        <v>0</v>
      </c>
      <c r="N425" s="221">
        <f t="shared" si="115"/>
        <v>0</v>
      </c>
      <c r="O425" s="221">
        <f t="shared" si="115"/>
        <v>0</v>
      </c>
      <c r="P425" s="239">
        <f aca="true" t="shared" si="124" ref="P425:P432">+C425+M425-L425</f>
        <v>0</v>
      </c>
    </row>
    <row r="426" spans="1:16" ht="11.25">
      <c r="A426" s="195">
        <v>481509</v>
      </c>
      <c r="B426" s="125" t="s">
        <v>3506</v>
      </c>
      <c r="C426" s="184">
        <v>0</v>
      </c>
      <c r="D426" s="125">
        <v>0</v>
      </c>
      <c r="E426" s="229">
        <v>0</v>
      </c>
      <c r="F426" s="224"/>
      <c r="G426" s="224"/>
      <c r="H426" s="224"/>
      <c r="I426" s="224"/>
      <c r="J426" s="224"/>
      <c r="K426" s="224"/>
      <c r="L426" s="223">
        <v>0</v>
      </c>
      <c r="M426" s="223">
        <v>0</v>
      </c>
      <c r="N426" s="221">
        <f t="shared" si="115"/>
        <v>0</v>
      </c>
      <c r="O426" s="221">
        <f t="shared" si="115"/>
        <v>0</v>
      </c>
      <c r="P426" s="239">
        <f t="shared" si="124"/>
        <v>0</v>
      </c>
    </row>
    <row r="427" spans="1:16" ht="11.25">
      <c r="A427" s="195">
        <v>481510</v>
      </c>
      <c r="B427" s="125" t="s">
        <v>1604</v>
      </c>
      <c r="C427" s="184">
        <v>0</v>
      </c>
      <c r="D427" s="125">
        <v>0</v>
      </c>
      <c r="E427" s="229">
        <v>0</v>
      </c>
      <c r="F427" s="224"/>
      <c r="G427" s="224"/>
      <c r="H427" s="224"/>
      <c r="I427" s="224"/>
      <c r="J427" s="224"/>
      <c r="K427" s="224"/>
      <c r="L427" s="223">
        <v>0</v>
      </c>
      <c r="M427" s="223">
        <v>0</v>
      </c>
      <c r="N427" s="221">
        <f t="shared" si="115"/>
        <v>0</v>
      </c>
      <c r="O427" s="221">
        <f t="shared" si="115"/>
        <v>0</v>
      </c>
      <c r="P427" s="239">
        <f t="shared" si="124"/>
        <v>0</v>
      </c>
    </row>
    <row r="428" spans="1:16" ht="11.25">
      <c r="A428" s="195">
        <v>481517</v>
      </c>
      <c r="B428" s="125" t="s">
        <v>3478</v>
      </c>
      <c r="C428" s="184">
        <v>156221</v>
      </c>
      <c r="D428" s="125">
        <v>0</v>
      </c>
      <c r="E428" s="229">
        <v>-113349505</v>
      </c>
      <c r="F428" s="224"/>
      <c r="G428" s="224"/>
      <c r="H428" s="224">
        <v>0</v>
      </c>
      <c r="I428" s="224">
        <v>0</v>
      </c>
      <c r="J428" s="224">
        <v>72093099839.69</v>
      </c>
      <c r="K428" s="224">
        <v>71936878842.69</v>
      </c>
      <c r="L428" s="223">
        <v>0</v>
      </c>
      <c r="M428" s="223">
        <v>71936879</v>
      </c>
      <c r="N428" s="221">
        <f t="shared" si="115"/>
        <v>72093099839.69</v>
      </c>
      <c r="O428" s="221">
        <f t="shared" si="115"/>
        <v>71936878842.69</v>
      </c>
      <c r="P428" s="239">
        <f t="shared" si="124"/>
        <v>72093100</v>
      </c>
    </row>
    <row r="429" spans="1:16" ht="11.25">
      <c r="A429" s="195">
        <v>481537</v>
      </c>
      <c r="B429" s="125" t="s">
        <v>1653</v>
      </c>
      <c r="C429" s="184">
        <v>0</v>
      </c>
      <c r="D429" s="125">
        <v>0</v>
      </c>
      <c r="E429" s="229">
        <v>0</v>
      </c>
      <c r="F429" s="224"/>
      <c r="G429" s="224"/>
      <c r="H429" s="224"/>
      <c r="I429" s="224"/>
      <c r="J429" s="224"/>
      <c r="K429" s="224"/>
      <c r="L429" s="223">
        <v>0</v>
      </c>
      <c r="M429" s="223">
        <v>0</v>
      </c>
      <c r="N429" s="221">
        <f t="shared" si="115"/>
        <v>0</v>
      </c>
      <c r="O429" s="221">
        <f t="shared" si="115"/>
        <v>0</v>
      </c>
      <c r="P429" s="239">
        <f t="shared" si="124"/>
        <v>0</v>
      </c>
    </row>
    <row r="430" spans="1:16" ht="11.25">
      <c r="A430" s="195">
        <v>481538</v>
      </c>
      <c r="B430" s="125" t="s">
        <v>1654</v>
      </c>
      <c r="C430" s="184">
        <v>127034336</v>
      </c>
      <c r="D430" s="125">
        <v>0</v>
      </c>
      <c r="E430" s="229">
        <v>-3786412375.5400004</v>
      </c>
      <c r="F430" s="224">
        <v>0</v>
      </c>
      <c r="G430" s="224">
        <v>444729</v>
      </c>
      <c r="H430" s="224">
        <v>628</v>
      </c>
      <c r="I430" s="224">
        <v>879</v>
      </c>
      <c r="J430" s="224">
        <v>178585742586.45</v>
      </c>
      <c r="K430" s="224">
        <v>51550961852.09</v>
      </c>
      <c r="L430" s="223">
        <v>332277</v>
      </c>
      <c r="M430" s="223">
        <v>51551407</v>
      </c>
      <c r="N430" s="221">
        <f t="shared" si="115"/>
        <v>178585743214.45</v>
      </c>
      <c r="O430" s="221">
        <f t="shared" si="115"/>
        <v>51551407460.09</v>
      </c>
      <c r="P430" s="239">
        <f t="shared" si="124"/>
        <v>178253466</v>
      </c>
    </row>
    <row r="431" spans="1:16" ht="11.25">
      <c r="A431" s="195">
        <v>481539</v>
      </c>
      <c r="B431" s="125" t="s">
        <v>1655</v>
      </c>
      <c r="C431" s="184">
        <v>0</v>
      </c>
      <c r="D431" s="125">
        <v>0</v>
      </c>
      <c r="E431" s="229">
        <v>0</v>
      </c>
      <c r="F431" s="224"/>
      <c r="G431" s="224"/>
      <c r="H431" s="224"/>
      <c r="I431" s="224"/>
      <c r="J431" s="224"/>
      <c r="K431" s="224"/>
      <c r="L431" s="223">
        <v>0</v>
      </c>
      <c r="M431" s="223">
        <v>0</v>
      </c>
      <c r="N431" s="221">
        <f t="shared" si="115"/>
        <v>0</v>
      </c>
      <c r="O431" s="221">
        <f t="shared" si="115"/>
        <v>0</v>
      </c>
      <c r="P431" s="239">
        <f t="shared" si="124"/>
        <v>0</v>
      </c>
    </row>
    <row r="432" spans="1:16" ht="11.25">
      <c r="A432" s="195">
        <v>481553</v>
      </c>
      <c r="B432" s="125" t="s">
        <v>1656</v>
      </c>
      <c r="C432" s="184"/>
      <c r="D432" s="125"/>
      <c r="E432" s="229"/>
      <c r="F432" s="224"/>
      <c r="G432" s="224">
        <v>5348412</v>
      </c>
      <c r="H432" s="224"/>
      <c r="I432" s="224"/>
      <c r="J432" s="224">
        <v>5348412</v>
      </c>
      <c r="K432" s="224">
        <v>0</v>
      </c>
      <c r="L432" s="223"/>
      <c r="M432" s="223">
        <f>5348</f>
        <v>5348</v>
      </c>
      <c r="N432" s="221">
        <f t="shared" si="115"/>
        <v>5348412</v>
      </c>
      <c r="O432" s="221">
        <f t="shared" si="115"/>
        <v>5348412</v>
      </c>
      <c r="P432" s="239">
        <f t="shared" si="124"/>
        <v>5348</v>
      </c>
    </row>
    <row r="433" spans="1:16" ht="11.25">
      <c r="A433" s="194">
        <v>500000</v>
      </c>
      <c r="B433" s="124" t="s">
        <v>1657</v>
      </c>
      <c r="C433" s="220">
        <f aca="true" t="shared" si="125" ref="C433:M433">C434+C530+C554+C603+C608+C626+C640+C671+C525</f>
        <v>8750492324</v>
      </c>
      <c r="D433" s="220">
        <f t="shared" si="125"/>
        <v>0</v>
      </c>
      <c r="E433" s="220">
        <f t="shared" si="125"/>
        <v>2905036406392.0103</v>
      </c>
      <c r="F433" s="220">
        <f t="shared" si="125"/>
        <v>1298461499348.52</v>
      </c>
      <c r="G433" s="220">
        <f t="shared" si="125"/>
        <v>1062477729.3599999</v>
      </c>
      <c r="H433" s="220">
        <f t="shared" si="125"/>
        <v>1226044327748.4402</v>
      </c>
      <c r="I433" s="220">
        <f t="shared" si="125"/>
        <v>11620018183</v>
      </c>
      <c r="J433" s="220">
        <f t="shared" si="125"/>
        <v>2499222315120.42</v>
      </c>
      <c r="K433" s="220">
        <f t="shared" si="125"/>
        <v>13761537970931.57</v>
      </c>
      <c r="L433" s="220">
        <f t="shared" si="125"/>
        <v>5023660371</v>
      </c>
      <c r="M433" s="220">
        <f t="shared" si="125"/>
        <v>1037973059</v>
      </c>
      <c r="N433" s="221">
        <f t="shared" si="115"/>
        <v>5023728142217.38</v>
      </c>
      <c r="O433" s="221">
        <f t="shared" si="115"/>
        <v>13774220466843.93</v>
      </c>
      <c r="P433" s="238">
        <f>P434+P530+P554+P603+P608+P626+P640+P671+P525</f>
        <v>12736179636</v>
      </c>
    </row>
    <row r="434" spans="1:16" ht="11.25">
      <c r="A434" s="194">
        <v>510000</v>
      </c>
      <c r="B434" s="124" t="s">
        <v>1658</v>
      </c>
      <c r="C434" s="220">
        <f aca="true" t="shared" si="126" ref="C434:M434">C435+C463+C468+C476+C481+C514</f>
        <v>137185146</v>
      </c>
      <c r="D434" s="220">
        <f t="shared" si="126"/>
        <v>0</v>
      </c>
      <c r="E434" s="220">
        <f t="shared" si="126"/>
        <v>90275978802.64998</v>
      </c>
      <c r="F434" s="220">
        <f t="shared" si="126"/>
        <v>1796545131.58</v>
      </c>
      <c r="G434" s="220">
        <f t="shared" si="126"/>
        <v>401279587.56</v>
      </c>
      <c r="H434" s="220">
        <f t="shared" si="126"/>
        <v>27657523678.989998</v>
      </c>
      <c r="I434" s="220">
        <f t="shared" si="126"/>
        <v>79699192</v>
      </c>
      <c r="J434" s="220">
        <f t="shared" si="126"/>
        <v>13373799086.82</v>
      </c>
      <c r="K434" s="220">
        <f t="shared" si="126"/>
        <v>179532033144.16998</v>
      </c>
      <c r="L434" s="220">
        <f t="shared" si="126"/>
        <v>42827868</v>
      </c>
      <c r="M434" s="220">
        <f t="shared" si="126"/>
        <v>118219552</v>
      </c>
      <c r="N434" s="221">
        <f t="shared" si="115"/>
        <v>42827867897.39</v>
      </c>
      <c r="O434" s="221">
        <f t="shared" si="115"/>
        <v>180013011923.72998</v>
      </c>
      <c r="P434" s="238">
        <f>P435+P463+P468+P476+P481+P514</f>
        <v>61793462</v>
      </c>
    </row>
    <row r="435" spans="1:16" ht="11.25">
      <c r="A435" s="194">
        <v>510100</v>
      </c>
      <c r="B435" s="124" t="s">
        <v>1659</v>
      </c>
      <c r="C435" s="220">
        <f aca="true" t="shared" si="127" ref="C435:M435">SUM(C436:C462)</f>
        <v>10754432</v>
      </c>
      <c r="D435" s="220">
        <f t="shared" si="127"/>
        <v>0</v>
      </c>
      <c r="E435" s="220">
        <f t="shared" si="127"/>
        <v>3489670380.96</v>
      </c>
      <c r="F435" s="220">
        <f t="shared" si="127"/>
        <v>1161787249.4199998</v>
      </c>
      <c r="G435" s="220">
        <f t="shared" si="127"/>
        <v>15000000</v>
      </c>
      <c r="H435" s="220">
        <f t="shared" si="127"/>
        <v>1845951646.03</v>
      </c>
      <c r="I435" s="220">
        <f t="shared" si="127"/>
        <v>14923600</v>
      </c>
      <c r="J435" s="220">
        <f t="shared" si="127"/>
        <v>2845660748.2000003</v>
      </c>
      <c r="K435" s="220">
        <f t="shared" si="127"/>
        <v>16577905850.23</v>
      </c>
      <c r="L435" s="220">
        <f t="shared" si="127"/>
        <v>5853399</v>
      </c>
      <c r="M435" s="220">
        <f t="shared" si="127"/>
        <v>1113438</v>
      </c>
      <c r="N435" s="221">
        <f t="shared" si="115"/>
        <v>5853399643.65</v>
      </c>
      <c r="O435" s="221">
        <f t="shared" si="115"/>
        <v>16607829450.23</v>
      </c>
      <c r="P435" s="238">
        <f>SUM(P436:P462)</f>
        <v>15494393</v>
      </c>
    </row>
    <row r="436" spans="1:16" ht="11.25">
      <c r="A436" s="195">
        <v>510101</v>
      </c>
      <c r="B436" s="125" t="s">
        <v>1660</v>
      </c>
      <c r="C436" s="184">
        <v>5577521</v>
      </c>
      <c r="D436" s="125">
        <v>0</v>
      </c>
      <c r="E436" s="229">
        <v>1646775075</v>
      </c>
      <c r="F436" s="224">
        <v>629011031</v>
      </c>
      <c r="G436" s="224">
        <v>0</v>
      </c>
      <c r="H436" s="224">
        <v>623609073</v>
      </c>
      <c r="I436" s="224">
        <v>0</v>
      </c>
      <c r="J436" s="224">
        <v>575469467</v>
      </c>
      <c r="K436" s="224">
        <v>7405609811</v>
      </c>
      <c r="L436" s="223">
        <v>1828090</v>
      </c>
      <c r="M436" s="223">
        <v>0</v>
      </c>
      <c r="N436" s="221">
        <f t="shared" si="115"/>
        <v>1828089571</v>
      </c>
      <c r="O436" s="221">
        <f t="shared" si="115"/>
        <v>7405609811</v>
      </c>
      <c r="P436" s="239">
        <f aca="true" t="shared" si="128" ref="P436:P462">+C436+L436-M436</f>
        <v>7405611</v>
      </c>
    </row>
    <row r="437" spans="1:16" ht="11.25">
      <c r="A437" s="195">
        <v>510102</v>
      </c>
      <c r="B437" s="125" t="s">
        <v>1661</v>
      </c>
      <c r="C437" s="184">
        <v>0</v>
      </c>
      <c r="D437" s="125">
        <v>0</v>
      </c>
      <c r="E437" s="229">
        <v>0</v>
      </c>
      <c r="F437" s="224"/>
      <c r="G437" s="224"/>
      <c r="H437" s="224"/>
      <c r="I437" s="224"/>
      <c r="J437" s="224"/>
      <c r="K437" s="224"/>
      <c r="L437" s="223">
        <v>0</v>
      </c>
      <c r="M437" s="223">
        <v>0</v>
      </c>
      <c r="N437" s="221">
        <f t="shared" si="115"/>
        <v>0</v>
      </c>
      <c r="O437" s="221">
        <f t="shared" si="115"/>
        <v>0</v>
      </c>
      <c r="P437" s="238">
        <f t="shared" si="128"/>
        <v>0</v>
      </c>
    </row>
    <row r="438" spans="1:16" ht="11.25">
      <c r="A438" s="195">
        <v>510103</v>
      </c>
      <c r="B438" s="125" t="s">
        <v>1662</v>
      </c>
      <c r="C438" s="184">
        <v>81524</v>
      </c>
      <c r="D438" s="125">
        <v>0</v>
      </c>
      <c r="E438" s="229">
        <v>36264754</v>
      </c>
      <c r="F438" s="224">
        <v>7863432</v>
      </c>
      <c r="G438" s="224">
        <v>0</v>
      </c>
      <c r="H438" s="224">
        <v>8800044</v>
      </c>
      <c r="I438" s="224">
        <v>0</v>
      </c>
      <c r="J438" s="224">
        <v>19776397</v>
      </c>
      <c r="K438" s="224">
        <v>117963713</v>
      </c>
      <c r="L438" s="223">
        <v>36440</v>
      </c>
      <c r="M438" s="223">
        <v>422</v>
      </c>
      <c r="N438" s="221">
        <f t="shared" si="115"/>
        <v>36439873</v>
      </c>
      <c r="O438" s="221">
        <f t="shared" si="115"/>
        <v>117963713</v>
      </c>
      <c r="P438" s="239">
        <f t="shared" si="128"/>
        <v>117542</v>
      </c>
    </row>
    <row r="439" spans="1:16" ht="11.25">
      <c r="A439" s="195">
        <v>510105</v>
      </c>
      <c r="B439" s="125" t="s">
        <v>1663</v>
      </c>
      <c r="C439" s="184">
        <v>98497</v>
      </c>
      <c r="D439" s="125">
        <v>0</v>
      </c>
      <c r="E439" s="229">
        <v>23073300</v>
      </c>
      <c r="F439" s="224">
        <v>11817161</v>
      </c>
      <c r="G439" s="224">
        <v>0</v>
      </c>
      <c r="H439" s="224">
        <v>11817161</v>
      </c>
      <c r="I439" s="224">
        <v>0</v>
      </c>
      <c r="J439" s="224">
        <v>10414844</v>
      </c>
      <c r="K439" s="224">
        <v>132546565</v>
      </c>
      <c r="L439" s="223">
        <v>34049</v>
      </c>
      <c r="M439" s="223"/>
      <c r="N439" s="221">
        <f t="shared" si="115"/>
        <v>34049166</v>
      </c>
      <c r="O439" s="221">
        <f t="shared" si="115"/>
        <v>132546565</v>
      </c>
      <c r="P439" s="239">
        <f t="shared" si="128"/>
        <v>132546</v>
      </c>
    </row>
    <row r="440" spans="1:16" ht="11.25">
      <c r="A440" s="195">
        <v>510106</v>
      </c>
      <c r="B440" s="125" t="s">
        <v>1664</v>
      </c>
      <c r="C440" s="184">
        <v>300719</v>
      </c>
      <c r="D440" s="125">
        <v>0</v>
      </c>
      <c r="E440" s="229">
        <v>91562532</v>
      </c>
      <c r="F440" s="224">
        <v>6846488</v>
      </c>
      <c r="G440" s="224">
        <v>0</v>
      </c>
      <c r="H440" s="224">
        <v>45750296</v>
      </c>
      <c r="I440" s="224">
        <v>11000000</v>
      </c>
      <c r="J440" s="224">
        <v>148373449</v>
      </c>
      <c r="K440" s="224">
        <v>490689707.27</v>
      </c>
      <c r="L440" s="223">
        <v>200970</v>
      </c>
      <c r="M440" s="223">
        <v>40759</v>
      </c>
      <c r="N440" s="221">
        <f t="shared" si="115"/>
        <v>200970233</v>
      </c>
      <c r="O440" s="221">
        <f t="shared" si="115"/>
        <v>501689707.27</v>
      </c>
      <c r="P440" s="239">
        <f t="shared" si="128"/>
        <v>460930</v>
      </c>
    </row>
    <row r="441" spans="1:16" ht="11.25">
      <c r="A441" s="195">
        <v>510107</v>
      </c>
      <c r="B441" s="125" t="s">
        <v>1665</v>
      </c>
      <c r="C441" s="184">
        <v>0</v>
      </c>
      <c r="D441" s="125">
        <v>0</v>
      </c>
      <c r="E441" s="229">
        <v>0</v>
      </c>
      <c r="F441" s="224"/>
      <c r="G441" s="224"/>
      <c r="H441" s="224"/>
      <c r="I441" s="224"/>
      <c r="J441" s="224"/>
      <c r="K441" s="224"/>
      <c r="L441" s="223">
        <v>0</v>
      </c>
      <c r="M441" s="223">
        <v>0</v>
      </c>
      <c r="N441" s="221">
        <f t="shared" si="115"/>
        <v>0</v>
      </c>
      <c r="O441" s="221">
        <f t="shared" si="115"/>
        <v>0</v>
      </c>
      <c r="P441" s="238">
        <f t="shared" si="128"/>
        <v>0</v>
      </c>
    </row>
    <row r="442" spans="1:16" ht="11.25">
      <c r="A442" s="195">
        <v>510109</v>
      </c>
      <c r="B442" s="125" t="s">
        <v>948</v>
      </c>
      <c r="C442" s="184">
        <v>1240820</v>
      </c>
      <c r="D442" s="125">
        <v>0</v>
      </c>
      <c r="E442" s="229">
        <v>708042058</v>
      </c>
      <c r="F442" s="224">
        <v>217313545</v>
      </c>
      <c r="G442" s="224">
        <v>15000000</v>
      </c>
      <c r="H442" s="224">
        <v>676253106</v>
      </c>
      <c r="I442" s="224">
        <v>3923600</v>
      </c>
      <c r="J442" s="224">
        <v>288141436.38</v>
      </c>
      <c r="K442" s="224">
        <v>2403604224.46</v>
      </c>
      <c r="L442" s="223">
        <v>1181708</v>
      </c>
      <c r="M442" s="223">
        <v>654110</v>
      </c>
      <c r="N442" s="221">
        <f t="shared" si="115"/>
        <v>1181708087.38</v>
      </c>
      <c r="O442" s="221">
        <f t="shared" si="115"/>
        <v>2422527824.46</v>
      </c>
      <c r="P442" s="239">
        <f t="shared" si="128"/>
        <v>1768418</v>
      </c>
    </row>
    <row r="443" spans="1:16" ht="11.25">
      <c r="A443" s="195">
        <v>510110</v>
      </c>
      <c r="B443" s="125" t="s">
        <v>1666</v>
      </c>
      <c r="C443" s="184">
        <v>1139910</v>
      </c>
      <c r="D443" s="125">
        <v>0</v>
      </c>
      <c r="E443" s="229">
        <v>340748137</v>
      </c>
      <c r="F443" s="224">
        <v>124071293</v>
      </c>
      <c r="G443" s="224">
        <v>0</v>
      </c>
      <c r="H443" s="224">
        <v>124229052</v>
      </c>
      <c r="I443" s="224">
        <v>0</v>
      </c>
      <c r="J443" s="224">
        <v>119287083</v>
      </c>
      <c r="K443" s="224">
        <v>1507496669</v>
      </c>
      <c r="L443" s="223">
        <v>367587</v>
      </c>
      <c r="M443" s="223"/>
      <c r="N443" s="221">
        <f t="shared" si="115"/>
        <v>367587428</v>
      </c>
      <c r="O443" s="221">
        <f t="shared" si="115"/>
        <v>1507496669</v>
      </c>
      <c r="P443" s="239">
        <f t="shared" si="128"/>
        <v>1507497</v>
      </c>
    </row>
    <row r="444" spans="1:16" ht="11.25">
      <c r="A444" s="195">
        <v>510111</v>
      </c>
      <c r="B444" s="125" t="s">
        <v>1667</v>
      </c>
      <c r="C444" s="184">
        <v>19365</v>
      </c>
      <c r="D444" s="125">
        <v>0</v>
      </c>
      <c r="E444" s="229">
        <v>5862407</v>
      </c>
      <c r="F444" s="224">
        <v>2213094</v>
      </c>
      <c r="G444" s="224">
        <v>0</v>
      </c>
      <c r="H444" s="224">
        <v>2371172</v>
      </c>
      <c r="I444" s="224">
        <v>0</v>
      </c>
      <c r="J444" s="224">
        <v>2371172</v>
      </c>
      <c r="K444" s="224">
        <v>26320009</v>
      </c>
      <c r="L444" s="223">
        <v>6955</v>
      </c>
      <c r="M444" s="223"/>
      <c r="N444" s="221">
        <f t="shared" si="115"/>
        <v>6955438</v>
      </c>
      <c r="O444" s="221">
        <f t="shared" si="115"/>
        <v>26320009</v>
      </c>
      <c r="P444" s="239">
        <f t="shared" si="128"/>
        <v>26320</v>
      </c>
    </row>
    <row r="445" spans="1:16" ht="11.25">
      <c r="A445" s="195">
        <v>510112</v>
      </c>
      <c r="B445" s="125" t="s">
        <v>1668</v>
      </c>
      <c r="C445" s="184">
        <v>0</v>
      </c>
      <c r="D445" s="125">
        <v>0</v>
      </c>
      <c r="E445" s="229">
        <v>0</v>
      </c>
      <c r="F445" s="224"/>
      <c r="G445" s="224"/>
      <c r="H445" s="224"/>
      <c r="I445" s="224"/>
      <c r="J445" s="224"/>
      <c r="K445" s="224"/>
      <c r="L445" s="223">
        <v>0</v>
      </c>
      <c r="M445" s="223">
        <v>0</v>
      </c>
      <c r="N445" s="221">
        <f t="shared" si="115"/>
        <v>0</v>
      </c>
      <c r="O445" s="221">
        <f t="shared" si="115"/>
        <v>0</v>
      </c>
      <c r="P445" s="238">
        <f t="shared" si="128"/>
        <v>0</v>
      </c>
    </row>
    <row r="446" spans="1:16" ht="11.25">
      <c r="A446" s="195">
        <v>510113</v>
      </c>
      <c r="B446" s="125" t="s">
        <v>1669</v>
      </c>
      <c r="C446" s="184">
        <v>254823</v>
      </c>
      <c r="D446" s="125">
        <v>0</v>
      </c>
      <c r="E446" s="229">
        <v>72996897.36</v>
      </c>
      <c r="F446" s="224">
        <v>10852187.93</v>
      </c>
      <c r="G446" s="224">
        <v>0</v>
      </c>
      <c r="H446" s="224">
        <v>28246275.59</v>
      </c>
      <c r="I446" s="224">
        <v>0</v>
      </c>
      <c r="J446" s="224">
        <v>390480204</v>
      </c>
      <c r="K446" s="224">
        <v>684402058.34</v>
      </c>
      <c r="L446" s="223">
        <v>429579</v>
      </c>
      <c r="M446" s="223">
        <v>122838</v>
      </c>
      <c r="N446" s="221">
        <f t="shared" si="115"/>
        <v>429578667.52</v>
      </c>
      <c r="O446" s="221">
        <f t="shared" si="115"/>
        <v>684402058.34</v>
      </c>
      <c r="P446" s="239">
        <f t="shared" si="128"/>
        <v>561564</v>
      </c>
    </row>
    <row r="447" spans="1:16" ht="11.25">
      <c r="A447" s="195">
        <v>510114</v>
      </c>
      <c r="B447" s="125" t="s">
        <v>1670</v>
      </c>
      <c r="C447" s="184">
        <v>489096</v>
      </c>
      <c r="D447" s="125">
        <v>0</v>
      </c>
      <c r="E447" s="229">
        <v>143723869.88</v>
      </c>
      <c r="F447" s="224">
        <v>8772696.35</v>
      </c>
      <c r="G447" s="224">
        <v>0</v>
      </c>
      <c r="H447" s="224">
        <v>54214625.72</v>
      </c>
      <c r="I447" s="224">
        <v>0</v>
      </c>
      <c r="J447" s="224">
        <v>229159313.73</v>
      </c>
      <c r="K447" s="224">
        <v>781243144</v>
      </c>
      <c r="L447" s="223">
        <v>292147</v>
      </c>
      <c r="M447" s="223">
        <v>19176</v>
      </c>
      <c r="N447" s="221">
        <f t="shared" si="115"/>
        <v>292146635.8</v>
      </c>
      <c r="O447" s="221">
        <f t="shared" si="115"/>
        <v>781243144</v>
      </c>
      <c r="P447" s="239">
        <f t="shared" si="128"/>
        <v>762067</v>
      </c>
    </row>
    <row r="448" spans="1:16" ht="11.25">
      <c r="A448" s="195">
        <v>510116</v>
      </c>
      <c r="B448" s="125" t="s">
        <v>1671</v>
      </c>
      <c r="C448" s="184">
        <v>5923</v>
      </c>
      <c r="D448" s="125">
        <v>0</v>
      </c>
      <c r="E448" s="229">
        <v>2095746</v>
      </c>
      <c r="F448" s="224">
        <v>678746</v>
      </c>
      <c r="G448" s="224">
        <v>0</v>
      </c>
      <c r="H448" s="224">
        <v>678746</v>
      </c>
      <c r="I448" s="224">
        <v>0</v>
      </c>
      <c r="J448" s="224">
        <v>611355</v>
      </c>
      <c r="K448" s="224">
        <v>7892080</v>
      </c>
      <c r="L448" s="223">
        <v>1969</v>
      </c>
      <c r="M448" s="223"/>
      <c r="N448" s="221">
        <f t="shared" si="115"/>
        <v>1968847</v>
      </c>
      <c r="O448" s="221">
        <f t="shared" si="115"/>
        <v>7892080</v>
      </c>
      <c r="P448" s="239">
        <f t="shared" si="128"/>
        <v>7892</v>
      </c>
    </row>
    <row r="449" spans="1:16" ht="11.25">
      <c r="A449" s="195">
        <v>510117</v>
      </c>
      <c r="B449" s="125" t="s">
        <v>971</v>
      </c>
      <c r="C449" s="184">
        <v>0</v>
      </c>
      <c r="D449" s="125">
        <v>0</v>
      </c>
      <c r="E449" s="229">
        <v>-10014707</v>
      </c>
      <c r="F449" s="224"/>
      <c r="G449" s="224"/>
      <c r="H449" s="224">
        <v>104681647</v>
      </c>
      <c r="I449" s="224">
        <v>0</v>
      </c>
      <c r="J449" s="224">
        <v>569022029.24</v>
      </c>
      <c r="K449" s="224">
        <v>673703676.24</v>
      </c>
      <c r="L449" s="223">
        <v>673704</v>
      </c>
      <c r="M449" s="223"/>
      <c r="N449" s="221">
        <f t="shared" si="115"/>
        <v>673703676.24</v>
      </c>
      <c r="O449" s="221">
        <f t="shared" si="115"/>
        <v>673703676.24</v>
      </c>
      <c r="P449" s="239">
        <f t="shared" si="128"/>
        <v>673704</v>
      </c>
    </row>
    <row r="450" spans="1:16" ht="11.25">
      <c r="A450" s="195">
        <v>510118</v>
      </c>
      <c r="B450" s="125" t="s">
        <v>1672</v>
      </c>
      <c r="C450" s="184">
        <v>76</v>
      </c>
      <c r="D450" s="125">
        <v>0</v>
      </c>
      <c r="E450" s="229">
        <v>-1028048</v>
      </c>
      <c r="F450" s="224">
        <v>54063</v>
      </c>
      <c r="G450" s="224">
        <v>0</v>
      </c>
      <c r="H450" s="224">
        <v>14370</v>
      </c>
      <c r="I450" s="224">
        <v>0</v>
      </c>
      <c r="J450" s="224">
        <v>32662964</v>
      </c>
      <c r="K450" s="224">
        <v>32807243</v>
      </c>
      <c r="L450" s="223">
        <v>32731</v>
      </c>
      <c r="M450" s="223"/>
      <c r="N450" s="221">
        <f t="shared" si="115"/>
        <v>32731397</v>
      </c>
      <c r="O450" s="221">
        <f t="shared" si="115"/>
        <v>32807243</v>
      </c>
      <c r="P450" s="239">
        <f t="shared" si="128"/>
        <v>32807</v>
      </c>
    </row>
    <row r="451" spans="1:16" ht="11.25">
      <c r="A451" s="195">
        <v>510119</v>
      </c>
      <c r="B451" s="93" t="s">
        <v>975</v>
      </c>
      <c r="C451" s="184">
        <v>530697</v>
      </c>
      <c r="D451" s="125">
        <v>0</v>
      </c>
      <c r="E451" s="229">
        <v>147791488.07</v>
      </c>
      <c r="F451" s="224">
        <v>57673631.77</v>
      </c>
      <c r="G451" s="224">
        <v>0</v>
      </c>
      <c r="H451" s="224">
        <v>76603378.72</v>
      </c>
      <c r="I451" s="224">
        <v>0</v>
      </c>
      <c r="J451" s="224">
        <v>28211420</v>
      </c>
      <c r="K451" s="224">
        <v>693185237.77</v>
      </c>
      <c r="L451" s="223">
        <v>162488</v>
      </c>
      <c r="M451" s="223">
        <v>167783</v>
      </c>
      <c r="N451" s="221">
        <f t="shared" si="115"/>
        <v>162488430.49</v>
      </c>
      <c r="O451" s="221">
        <f t="shared" si="115"/>
        <v>693185237.77</v>
      </c>
      <c r="P451" s="239">
        <f t="shared" si="128"/>
        <v>525402</v>
      </c>
    </row>
    <row r="452" spans="1:16" ht="11.25">
      <c r="A452" s="195">
        <v>510121</v>
      </c>
      <c r="B452" s="125" t="s">
        <v>1673</v>
      </c>
      <c r="C452" s="184">
        <v>0</v>
      </c>
      <c r="D452" s="125">
        <v>0</v>
      </c>
      <c r="E452" s="229">
        <v>0</v>
      </c>
      <c r="F452" s="224"/>
      <c r="G452" s="224"/>
      <c r="H452" s="224"/>
      <c r="I452" s="224"/>
      <c r="J452" s="224"/>
      <c r="K452" s="224"/>
      <c r="L452" s="223">
        <v>0</v>
      </c>
      <c r="M452" s="223">
        <v>0</v>
      </c>
      <c r="N452" s="221">
        <f t="shared" si="115"/>
        <v>0</v>
      </c>
      <c r="O452" s="221">
        <f t="shared" si="115"/>
        <v>0</v>
      </c>
      <c r="P452" s="238">
        <f t="shared" si="128"/>
        <v>0</v>
      </c>
    </row>
    <row r="453" spans="1:16" ht="11.25">
      <c r="A453" s="195">
        <v>510123</v>
      </c>
      <c r="B453" s="125" t="s">
        <v>1674</v>
      </c>
      <c r="C453" s="184">
        <v>5626</v>
      </c>
      <c r="D453" s="125">
        <v>0</v>
      </c>
      <c r="E453" s="229">
        <v>-166330</v>
      </c>
      <c r="F453" s="224">
        <v>628050</v>
      </c>
      <c r="G453" s="224">
        <v>0</v>
      </c>
      <c r="H453" s="224">
        <v>844290</v>
      </c>
      <c r="I453" s="224">
        <v>0</v>
      </c>
      <c r="J453" s="224">
        <v>701190</v>
      </c>
      <c r="K453" s="224">
        <v>7798950</v>
      </c>
      <c r="L453" s="223">
        <v>2174</v>
      </c>
      <c r="M453" s="223"/>
      <c r="N453" s="221">
        <f t="shared" si="115"/>
        <v>2173530</v>
      </c>
      <c r="O453" s="221">
        <f t="shared" si="115"/>
        <v>7798950</v>
      </c>
      <c r="P453" s="239">
        <f t="shared" si="128"/>
        <v>7800</v>
      </c>
    </row>
    <row r="454" spans="1:16" ht="11.25">
      <c r="A454" s="195">
        <v>510124</v>
      </c>
      <c r="B454" s="125" t="s">
        <v>970</v>
      </c>
      <c r="C454" s="184">
        <v>607521</v>
      </c>
      <c r="D454" s="125">
        <v>0</v>
      </c>
      <c r="E454" s="229">
        <v>197930793</v>
      </c>
      <c r="F454" s="224">
        <v>63382304</v>
      </c>
      <c r="G454" s="224">
        <v>0</v>
      </c>
      <c r="H454" s="224">
        <v>76667644</v>
      </c>
      <c r="I454" s="224">
        <v>0</v>
      </c>
      <c r="J454" s="224">
        <v>185412093</v>
      </c>
      <c r="K454" s="224">
        <v>932982745</v>
      </c>
      <c r="L454" s="223">
        <v>325462</v>
      </c>
      <c r="M454" s="223">
        <v>9089</v>
      </c>
      <c r="N454" s="221">
        <f t="shared" si="115"/>
        <v>325462041</v>
      </c>
      <c r="O454" s="221">
        <f t="shared" si="115"/>
        <v>932982745</v>
      </c>
      <c r="P454" s="239">
        <f t="shared" si="128"/>
        <v>923894</v>
      </c>
    </row>
    <row r="455" spans="1:16" ht="11.25">
      <c r="A455" s="195">
        <v>510130</v>
      </c>
      <c r="B455" s="125" t="s">
        <v>1675</v>
      </c>
      <c r="C455" s="184">
        <v>122080</v>
      </c>
      <c r="D455" s="125">
        <v>0</v>
      </c>
      <c r="E455" s="229">
        <v>29446368.16</v>
      </c>
      <c r="F455" s="224">
        <v>13470000</v>
      </c>
      <c r="G455" s="224">
        <v>0</v>
      </c>
      <c r="H455" s="224">
        <v>7397639</v>
      </c>
      <c r="I455" s="224">
        <v>0</v>
      </c>
      <c r="J455" s="224">
        <v>74037546</v>
      </c>
      <c r="K455" s="224">
        <v>216984966.16</v>
      </c>
      <c r="L455" s="223">
        <v>94905</v>
      </c>
      <c r="M455" s="223">
        <v>4979</v>
      </c>
      <c r="N455" s="221">
        <f t="shared" si="115"/>
        <v>94905185</v>
      </c>
      <c r="O455" s="221">
        <f t="shared" si="115"/>
        <v>216984966.16</v>
      </c>
      <c r="P455" s="239">
        <f t="shared" si="128"/>
        <v>212006</v>
      </c>
    </row>
    <row r="456" spans="1:16" ht="11.25">
      <c r="A456" s="195">
        <v>510131</v>
      </c>
      <c r="B456" s="125" t="s">
        <v>1676</v>
      </c>
      <c r="C456" s="184">
        <v>5741</v>
      </c>
      <c r="D456" s="125">
        <v>0</v>
      </c>
      <c r="E456" s="229">
        <v>3563798.37</v>
      </c>
      <c r="F456" s="224">
        <v>3519319.37</v>
      </c>
      <c r="G456" s="224">
        <v>0</v>
      </c>
      <c r="H456" s="224">
        <v>0</v>
      </c>
      <c r="I456" s="224">
        <v>0</v>
      </c>
      <c r="J456" s="224">
        <v>5654043.85</v>
      </c>
      <c r="K456" s="224">
        <v>14914189.57</v>
      </c>
      <c r="L456" s="223">
        <v>9173</v>
      </c>
      <c r="M456" s="223"/>
      <c r="N456" s="221">
        <f t="shared" si="115"/>
        <v>9173363.219999999</v>
      </c>
      <c r="O456" s="221">
        <f t="shared" si="115"/>
        <v>14914189.57</v>
      </c>
      <c r="P456" s="239">
        <f t="shared" si="128"/>
        <v>14914</v>
      </c>
    </row>
    <row r="457" spans="1:16" ht="11.25">
      <c r="A457" s="195">
        <v>510133</v>
      </c>
      <c r="B457" s="125" t="s">
        <v>1677</v>
      </c>
      <c r="C457" s="184">
        <v>0</v>
      </c>
      <c r="D457" s="125">
        <v>0</v>
      </c>
      <c r="E457" s="229">
        <v>26695667.46</v>
      </c>
      <c r="F457" s="224"/>
      <c r="G457" s="224"/>
      <c r="H457" s="224"/>
      <c r="I457" s="224"/>
      <c r="J457" s="224"/>
      <c r="K457" s="224"/>
      <c r="L457" s="223">
        <v>0</v>
      </c>
      <c r="M457" s="223">
        <v>0</v>
      </c>
      <c r="N457" s="221">
        <f t="shared" si="115"/>
        <v>0</v>
      </c>
      <c r="O457" s="221">
        <f t="shared" si="115"/>
        <v>0</v>
      </c>
      <c r="P457" s="238">
        <f t="shared" si="128"/>
        <v>0</v>
      </c>
    </row>
    <row r="458" spans="1:16" ht="11.25">
      <c r="A458" s="195">
        <v>510150</v>
      </c>
      <c r="B458" s="125" t="s">
        <v>1678</v>
      </c>
      <c r="C458" s="184">
        <v>0</v>
      </c>
      <c r="D458" s="125">
        <v>0</v>
      </c>
      <c r="E458" s="229">
        <v>-6191030</v>
      </c>
      <c r="F458" s="224"/>
      <c r="G458" s="224"/>
      <c r="H458" s="224"/>
      <c r="I458" s="224"/>
      <c r="J458" s="224"/>
      <c r="K458" s="224"/>
      <c r="L458" s="223">
        <v>0</v>
      </c>
      <c r="M458" s="223">
        <v>0</v>
      </c>
      <c r="N458" s="221">
        <f t="shared" si="115"/>
        <v>0</v>
      </c>
      <c r="O458" s="221">
        <f t="shared" si="115"/>
        <v>0</v>
      </c>
      <c r="P458" s="238">
        <f t="shared" si="128"/>
        <v>0</v>
      </c>
    </row>
    <row r="459" spans="1:16" ht="11.25">
      <c r="A459" s="195">
        <v>510152</v>
      </c>
      <c r="B459" s="125" t="s">
        <v>1679</v>
      </c>
      <c r="C459" s="184">
        <v>244843</v>
      </c>
      <c r="D459" s="125">
        <v>0</v>
      </c>
      <c r="E459" s="229">
        <v>36114309.66</v>
      </c>
      <c r="F459" s="224"/>
      <c r="G459" s="224"/>
      <c r="H459" s="224">
        <v>0</v>
      </c>
      <c r="I459" s="224">
        <v>0</v>
      </c>
      <c r="J459" s="224">
        <v>162226801</v>
      </c>
      <c r="K459" s="224">
        <v>407068630.42</v>
      </c>
      <c r="L459" s="223">
        <v>162227</v>
      </c>
      <c r="M459" s="223">
        <v>94282</v>
      </c>
      <c r="N459" s="221">
        <f aca="true" t="shared" si="129" ref="N459:O524">+F459+H459+J459</f>
        <v>162226801</v>
      </c>
      <c r="O459" s="221">
        <f t="shared" si="129"/>
        <v>407068630.42</v>
      </c>
      <c r="P459" s="239">
        <f t="shared" si="128"/>
        <v>312788</v>
      </c>
    </row>
    <row r="460" spans="1:16" ht="11.25">
      <c r="A460" s="195">
        <v>510156</v>
      </c>
      <c r="B460" s="125" t="s">
        <v>1680</v>
      </c>
      <c r="C460" s="184">
        <v>18010</v>
      </c>
      <c r="D460" s="125">
        <v>0</v>
      </c>
      <c r="E460" s="229">
        <v>-8162031</v>
      </c>
      <c r="F460" s="224">
        <v>2254130</v>
      </c>
      <c r="G460" s="224">
        <v>0</v>
      </c>
      <c r="H460" s="224">
        <v>2254130</v>
      </c>
      <c r="I460" s="224">
        <v>0</v>
      </c>
      <c r="J460" s="224">
        <v>2092698</v>
      </c>
      <c r="K460" s="224">
        <v>24610816</v>
      </c>
      <c r="L460" s="223">
        <v>6601</v>
      </c>
      <c r="M460" s="223"/>
      <c r="N460" s="221">
        <f t="shared" si="129"/>
        <v>6600958</v>
      </c>
      <c r="O460" s="221">
        <f t="shared" si="129"/>
        <v>24610816</v>
      </c>
      <c r="P460" s="239">
        <f t="shared" si="128"/>
        <v>24611</v>
      </c>
    </row>
    <row r="461" spans="1:16" ht="11.25">
      <c r="A461" s="195">
        <v>510160</v>
      </c>
      <c r="B461" s="125" t="s">
        <v>1681</v>
      </c>
      <c r="C461" s="184">
        <v>11640</v>
      </c>
      <c r="D461" s="125">
        <v>0</v>
      </c>
      <c r="E461" s="229">
        <v>2282021</v>
      </c>
      <c r="F461" s="224">
        <v>1366077</v>
      </c>
      <c r="G461" s="224">
        <v>0</v>
      </c>
      <c r="H461" s="224">
        <v>1518996</v>
      </c>
      <c r="I461" s="224">
        <v>0</v>
      </c>
      <c r="J461" s="224">
        <v>1555242</v>
      </c>
      <c r="K461" s="224">
        <v>16081415</v>
      </c>
      <c r="L461" s="223">
        <v>4440</v>
      </c>
      <c r="M461" s="223"/>
      <c r="N461" s="221">
        <f t="shared" si="129"/>
        <v>4440315</v>
      </c>
      <c r="O461" s="221">
        <f t="shared" si="129"/>
        <v>16081415</v>
      </c>
      <c r="P461" s="239">
        <f t="shared" si="128"/>
        <v>16080</v>
      </c>
    </row>
    <row r="462" spans="1:16" ht="11.25">
      <c r="A462" s="195">
        <v>510190</v>
      </c>
      <c r="B462" s="125" t="s">
        <v>1682</v>
      </c>
      <c r="C462" s="184">
        <v>0</v>
      </c>
      <c r="D462" s="125">
        <v>0</v>
      </c>
      <c r="E462" s="229">
        <v>263305</v>
      </c>
      <c r="F462" s="224"/>
      <c r="G462" s="224"/>
      <c r="H462" s="224"/>
      <c r="I462" s="224"/>
      <c r="J462" s="224"/>
      <c r="K462" s="224"/>
      <c r="L462" s="223">
        <v>0</v>
      </c>
      <c r="M462" s="223">
        <v>0</v>
      </c>
      <c r="N462" s="221">
        <f t="shared" si="129"/>
        <v>0</v>
      </c>
      <c r="O462" s="221">
        <f t="shared" si="129"/>
        <v>0</v>
      </c>
      <c r="P462" s="238">
        <f t="shared" si="128"/>
        <v>0</v>
      </c>
    </row>
    <row r="463" spans="1:16" ht="11.25">
      <c r="A463" s="194">
        <v>510200</v>
      </c>
      <c r="B463" s="124" t="s">
        <v>1683</v>
      </c>
      <c r="C463" s="220">
        <f aca="true" t="shared" si="130" ref="C463:M463">SUM(C464:C467)</f>
        <v>36055340</v>
      </c>
      <c r="D463" s="220">
        <f t="shared" si="130"/>
        <v>0</v>
      </c>
      <c r="E463" s="220">
        <f t="shared" si="130"/>
        <v>7304915248</v>
      </c>
      <c r="F463" s="220">
        <f t="shared" si="130"/>
        <v>0</v>
      </c>
      <c r="G463" s="220">
        <f t="shared" si="130"/>
        <v>0</v>
      </c>
      <c r="H463" s="220">
        <f t="shared" si="130"/>
        <v>3218517</v>
      </c>
      <c r="I463" s="220">
        <f t="shared" si="130"/>
        <v>0</v>
      </c>
      <c r="J463" s="220">
        <f t="shared" si="130"/>
        <v>724068826.11</v>
      </c>
      <c r="K463" s="220">
        <f t="shared" si="130"/>
        <v>36782627734.11</v>
      </c>
      <c r="L463" s="220">
        <f t="shared" si="130"/>
        <v>727287</v>
      </c>
      <c r="M463" s="220">
        <f t="shared" si="130"/>
        <v>36761068</v>
      </c>
      <c r="N463" s="221">
        <f t="shared" si="129"/>
        <v>727287343.11</v>
      </c>
      <c r="O463" s="221">
        <f t="shared" si="129"/>
        <v>36782627734.11</v>
      </c>
      <c r="P463" s="238">
        <f>SUM(P464:P467)</f>
        <v>21559</v>
      </c>
    </row>
    <row r="464" spans="1:16" ht="11.25">
      <c r="A464" s="195">
        <v>510201</v>
      </c>
      <c r="B464" s="125" t="s">
        <v>1684</v>
      </c>
      <c r="C464" s="184">
        <v>15949</v>
      </c>
      <c r="D464" s="125">
        <v>0</v>
      </c>
      <c r="E464" s="229">
        <v>2746560</v>
      </c>
      <c r="F464" s="224"/>
      <c r="G464" s="224"/>
      <c r="H464" s="224">
        <v>3218517</v>
      </c>
      <c r="I464" s="224">
        <v>0</v>
      </c>
      <c r="J464" s="224">
        <v>2391697</v>
      </c>
      <c r="K464" s="224">
        <v>21559905</v>
      </c>
      <c r="L464" s="223">
        <v>5610</v>
      </c>
      <c r="M464" s="223"/>
      <c r="N464" s="221">
        <f t="shared" si="129"/>
        <v>5610214</v>
      </c>
      <c r="O464" s="221">
        <f t="shared" si="129"/>
        <v>21559905</v>
      </c>
      <c r="P464" s="239">
        <f>+C464+L464-M464</f>
        <v>21559</v>
      </c>
    </row>
    <row r="465" spans="1:16" ht="11.25">
      <c r="A465" s="195">
        <v>510203</v>
      </c>
      <c r="B465" s="125" t="s">
        <v>1685</v>
      </c>
      <c r="C465" s="184">
        <v>0</v>
      </c>
      <c r="D465" s="125">
        <v>0</v>
      </c>
      <c r="E465" s="229">
        <v>0</v>
      </c>
      <c r="F465" s="224"/>
      <c r="G465" s="224"/>
      <c r="H465" s="224"/>
      <c r="I465" s="224"/>
      <c r="J465" s="224">
        <v>721677129.11</v>
      </c>
      <c r="K465" s="224">
        <v>721677129.11</v>
      </c>
      <c r="L465" s="223">
        <v>721677</v>
      </c>
      <c r="M465" s="223">
        <v>721677</v>
      </c>
      <c r="N465" s="221">
        <f t="shared" si="129"/>
        <v>721677129.11</v>
      </c>
      <c r="O465" s="221">
        <f t="shared" si="129"/>
        <v>721677129.11</v>
      </c>
      <c r="P465" s="238">
        <f>+C465+L465-M465</f>
        <v>0</v>
      </c>
    </row>
    <row r="466" spans="1:16" ht="11.25">
      <c r="A466" s="195">
        <v>510207</v>
      </c>
      <c r="B466" s="125" t="s">
        <v>1686</v>
      </c>
      <c r="C466" s="184">
        <v>7273403</v>
      </c>
      <c r="D466" s="125">
        <v>0</v>
      </c>
      <c r="E466" s="229">
        <v>7273402700</v>
      </c>
      <c r="F466" s="224"/>
      <c r="G466" s="224"/>
      <c r="H466" s="224"/>
      <c r="I466" s="224"/>
      <c r="J466" s="224">
        <v>0</v>
      </c>
      <c r="K466" s="224">
        <v>7273402700</v>
      </c>
      <c r="L466" s="223">
        <v>0</v>
      </c>
      <c r="M466" s="223">
        <v>7273403</v>
      </c>
      <c r="N466" s="221">
        <f t="shared" si="129"/>
        <v>0</v>
      </c>
      <c r="O466" s="221">
        <f t="shared" si="129"/>
        <v>7273402700</v>
      </c>
      <c r="P466" s="238">
        <f>+C466+L466-M466</f>
        <v>0</v>
      </c>
    </row>
    <row r="467" spans="1:16" ht="11.25">
      <c r="A467" s="195">
        <v>510214</v>
      </c>
      <c r="B467" s="125" t="s">
        <v>1687</v>
      </c>
      <c r="C467" s="184">
        <v>28765988</v>
      </c>
      <c r="D467" s="125">
        <v>0</v>
      </c>
      <c r="E467" s="229">
        <v>28765988</v>
      </c>
      <c r="F467" s="224"/>
      <c r="G467" s="224"/>
      <c r="H467" s="224"/>
      <c r="I467" s="224"/>
      <c r="J467" s="224">
        <v>0</v>
      </c>
      <c r="K467" s="224">
        <v>28765988000</v>
      </c>
      <c r="L467" s="223">
        <v>0</v>
      </c>
      <c r="M467" s="223">
        <v>28765988</v>
      </c>
      <c r="N467" s="221">
        <f t="shared" si="129"/>
        <v>0</v>
      </c>
      <c r="O467" s="221">
        <f t="shared" si="129"/>
        <v>28765988000</v>
      </c>
      <c r="P467" s="238">
        <f>+C467+L467-M467</f>
        <v>0</v>
      </c>
    </row>
    <row r="468" spans="1:16" ht="11.25">
      <c r="A468" s="194">
        <v>510300</v>
      </c>
      <c r="B468" s="124" t="s">
        <v>1688</v>
      </c>
      <c r="C468" s="220">
        <f aca="true" t="shared" si="131" ref="C468:M468">SUM(C469:C475)</f>
        <v>80052363</v>
      </c>
      <c r="D468" s="220">
        <f t="shared" si="131"/>
        <v>0</v>
      </c>
      <c r="E468" s="220">
        <f t="shared" si="131"/>
        <v>79306321629</v>
      </c>
      <c r="F468" s="220">
        <f t="shared" si="131"/>
        <v>171425659</v>
      </c>
      <c r="G468" s="220">
        <f t="shared" si="131"/>
        <v>0</v>
      </c>
      <c r="H468" s="220">
        <f t="shared" si="131"/>
        <v>170513298</v>
      </c>
      <c r="I468" s="220">
        <f t="shared" si="131"/>
        <v>0</v>
      </c>
      <c r="J468" s="220">
        <f t="shared" si="131"/>
        <v>204987738</v>
      </c>
      <c r="K468" s="220">
        <f t="shared" si="131"/>
        <v>80599289076</v>
      </c>
      <c r="L468" s="220">
        <f t="shared" si="131"/>
        <v>546926</v>
      </c>
      <c r="M468" s="220">
        <f t="shared" si="131"/>
        <v>78464428</v>
      </c>
      <c r="N468" s="221">
        <f t="shared" si="129"/>
        <v>546926695</v>
      </c>
      <c r="O468" s="221">
        <f t="shared" si="129"/>
        <v>80599289076</v>
      </c>
      <c r="P468" s="238">
        <f>SUM(P469:P475)</f>
        <v>2134861</v>
      </c>
    </row>
    <row r="469" spans="1:16" ht="11.25">
      <c r="A469" s="195">
        <v>510302</v>
      </c>
      <c r="B469" s="125" t="s">
        <v>1689</v>
      </c>
      <c r="C469" s="184">
        <v>281395</v>
      </c>
      <c r="D469" s="125">
        <v>0</v>
      </c>
      <c r="E469" s="229">
        <v>128421997</v>
      </c>
      <c r="F469" s="224">
        <v>29570560</v>
      </c>
      <c r="G469" s="224">
        <v>0</v>
      </c>
      <c r="H469" s="224">
        <v>32433160</v>
      </c>
      <c r="I469" s="224">
        <v>0</v>
      </c>
      <c r="J469" s="224">
        <v>62432740</v>
      </c>
      <c r="K469" s="224">
        <v>405831532</v>
      </c>
      <c r="L469" s="223">
        <v>124436</v>
      </c>
      <c r="M469" s="223"/>
      <c r="N469" s="221">
        <f t="shared" si="129"/>
        <v>124436460</v>
      </c>
      <c r="O469" s="221">
        <f t="shared" si="129"/>
        <v>405831532</v>
      </c>
      <c r="P469" s="239">
        <f aca="true" t="shared" si="132" ref="P469:P475">+C469+L469-M469</f>
        <v>405831</v>
      </c>
    </row>
    <row r="470" spans="1:16" ht="11.25">
      <c r="A470" s="195">
        <v>510303</v>
      </c>
      <c r="B470" s="125" t="s">
        <v>1690</v>
      </c>
      <c r="C470" s="184">
        <v>78964801</v>
      </c>
      <c r="D470" s="125">
        <v>0</v>
      </c>
      <c r="E470" s="229">
        <v>78878607684</v>
      </c>
      <c r="F470" s="224">
        <v>53954999</v>
      </c>
      <c r="G470" s="224">
        <v>0</v>
      </c>
      <c r="H470" s="224">
        <v>51731638</v>
      </c>
      <c r="I470" s="224">
        <v>0</v>
      </c>
      <c r="J470" s="224">
        <v>56075808</v>
      </c>
      <c r="K470" s="224">
        <v>79126561997</v>
      </c>
      <c r="L470" s="223">
        <v>161762</v>
      </c>
      <c r="M470" s="223">
        <v>78464428</v>
      </c>
      <c r="N470" s="221">
        <f t="shared" si="129"/>
        <v>161762445</v>
      </c>
      <c r="O470" s="221">
        <f t="shared" si="129"/>
        <v>79126561997</v>
      </c>
      <c r="P470" s="239">
        <f t="shared" si="132"/>
        <v>662135</v>
      </c>
    </row>
    <row r="471" spans="1:16" ht="11.25">
      <c r="A471" s="195">
        <v>510304</v>
      </c>
      <c r="B471" s="125" t="s">
        <v>1691</v>
      </c>
      <c r="C471" s="184">
        <v>0</v>
      </c>
      <c r="D471" s="125">
        <v>0</v>
      </c>
      <c r="E471" s="229">
        <v>3501306</v>
      </c>
      <c r="F471" s="224"/>
      <c r="G471" s="224"/>
      <c r="H471" s="224"/>
      <c r="I471" s="224"/>
      <c r="J471" s="224"/>
      <c r="K471" s="224"/>
      <c r="L471" s="223">
        <v>0</v>
      </c>
      <c r="M471" s="223">
        <v>0</v>
      </c>
      <c r="N471" s="221">
        <f t="shared" si="129"/>
        <v>0</v>
      </c>
      <c r="O471" s="221">
        <f t="shared" si="129"/>
        <v>0</v>
      </c>
      <c r="P471" s="238">
        <f t="shared" si="132"/>
        <v>0</v>
      </c>
    </row>
    <row r="472" spans="1:16" ht="11.25">
      <c r="A472" s="195">
        <v>510305</v>
      </c>
      <c r="B472" s="125" t="s">
        <v>1692</v>
      </c>
      <c r="C472" s="184">
        <v>30910</v>
      </c>
      <c r="D472" s="125">
        <v>0</v>
      </c>
      <c r="E472" s="229">
        <v>6105280</v>
      </c>
      <c r="F472" s="224">
        <v>3565800</v>
      </c>
      <c r="G472" s="224">
        <v>0</v>
      </c>
      <c r="H472" s="224">
        <v>3557200</v>
      </c>
      <c r="I472" s="224">
        <v>0</v>
      </c>
      <c r="J472" s="224">
        <v>3562800</v>
      </c>
      <c r="K472" s="224">
        <v>41596357</v>
      </c>
      <c r="L472" s="223">
        <v>10686</v>
      </c>
      <c r="M472" s="223"/>
      <c r="N472" s="221">
        <f t="shared" si="129"/>
        <v>10685800</v>
      </c>
      <c r="O472" s="221">
        <f t="shared" si="129"/>
        <v>41596357</v>
      </c>
      <c r="P472" s="239">
        <f t="shared" si="132"/>
        <v>41596</v>
      </c>
    </row>
    <row r="473" spans="1:16" ht="22.5">
      <c r="A473" s="195">
        <v>510306</v>
      </c>
      <c r="B473" s="125" t="s">
        <v>1693</v>
      </c>
      <c r="C473" s="184">
        <v>407622</v>
      </c>
      <c r="D473" s="125">
        <v>0</v>
      </c>
      <c r="E473" s="229">
        <v>175677077</v>
      </c>
      <c r="F473" s="224">
        <v>43695300</v>
      </c>
      <c r="G473" s="224">
        <v>0</v>
      </c>
      <c r="H473" s="224">
        <v>42414400</v>
      </c>
      <c r="I473" s="224">
        <v>0</v>
      </c>
      <c r="J473" s="224">
        <v>42485400</v>
      </c>
      <c r="K473" s="224">
        <v>536216800</v>
      </c>
      <c r="L473" s="223">
        <v>128595</v>
      </c>
      <c r="M473" s="223"/>
      <c r="N473" s="221">
        <f t="shared" si="129"/>
        <v>128595100</v>
      </c>
      <c r="O473" s="221">
        <f t="shared" si="129"/>
        <v>536216800</v>
      </c>
      <c r="P473" s="239">
        <f t="shared" si="132"/>
        <v>536217</v>
      </c>
    </row>
    <row r="474" spans="1:16" ht="22.5">
      <c r="A474" s="195">
        <v>510307</v>
      </c>
      <c r="B474" s="125" t="s">
        <v>1694</v>
      </c>
      <c r="C474" s="184">
        <v>367635</v>
      </c>
      <c r="D474" s="125">
        <v>0</v>
      </c>
      <c r="E474" s="229">
        <v>114008285</v>
      </c>
      <c r="F474" s="224">
        <v>40639000</v>
      </c>
      <c r="G474" s="224">
        <v>0</v>
      </c>
      <c r="H474" s="224">
        <v>40376900</v>
      </c>
      <c r="I474" s="224">
        <v>0</v>
      </c>
      <c r="J474" s="224">
        <v>40430990</v>
      </c>
      <c r="K474" s="224">
        <v>489082390</v>
      </c>
      <c r="L474" s="223">
        <v>121447</v>
      </c>
      <c r="M474" s="223"/>
      <c r="N474" s="221">
        <f t="shared" si="129"/>
        <v>121446890</v>
      </c>
      <c r="O474" s="221">
        <f t="shared" si="129"/>
        <v>489082390</v>
      </c>
      <c r="P474" s="239">
        <f t="shared" si="132"/>
        <v>489082</v>
      </c>
    </row>
    <row r="475" spans="1:16" ht="11.25">
      <c r="A475" s="195">
        <v>510390</v>
      </c>
      <c r="B475" s="125" t="s">
        <v>1695</v>
      </c>
      <c r="C475" s="184">
        <v>0</v>
      </c>
      <c r="D475" s="125">
        <v>0</v>
      </c>
      <c r="E475" s="229">
        <v>0</v>
      </c>
      <c r="F475" s="224"/>
      <c r="G475" s="224"/>
      <c r="H475" s="224"/>
      <c r="I475" s="224"/>
      <c r="J475" s="224"/>
      <c r="K475" s="224"/>
      <c r="L475" s="223">
        <v>0</v>
      </c>
      <c r="M475" s="223">
        <v>0</v>
      </c>
      <c r="N475" s="221">
        <f t="shared" si="129"/>
        <v>0</v>
      </c>
      <c r="O475" s="221">
        <f t="shared" si="129"/>
        <v>0</v>
      </c>
      <c r="P475" s="238">
        <f t="shared" si="132"/>
        <v>0</v>
      </c>
    </row>
    <row r="476" spans="1:16" ht="11.25">
      <c r="A476" s="194">
        <v>510400</v>
      </c>
      <c r="B476" s="124" t="s">
        <v>1696</v>
      </c>
      <c r="C476" s="220">
        <f aca="true" t="shared" si="133" ref="C476:M476">SUM(C477:C480)</f>
        <v>5354499</v>
      </c>
      <c r="D476" s="220">
        <f t="shared" si="133"/>
        <v>0</v>
      </c>
      <c r="E476" s="220">
        <f t="shared" si="133"/>
        <v>318102559</v>
      </c>
      <c r="F476" s="220">
        <f t="shared" si="133"/>
        <v>37433200</v>
      </c>
      <c r="G476" s="220">
        <f t="shared" si="133"/>
        <v>0</v>
      </c>
      <c r="H476" s="220">
        <f t="shared" si="133"/>
        <v>3529059090</v>
      </c>
      <c r="I476" s="220">
        <f t="shared" si="133"/>
        <v>0</v>
      </c>
      <c r="J476" s="220">
        <f t="shared" si="133"/>
        <v>2078040750</v>
      </c>
      <c r="K476" s="220">
        <f t="shared" si="133"/>
        <v>10999031456</v>
      </c>
      <c r="L476" s="220">
        <f t="shared" si="133"/>
        <v>5644534</v>
      </c>
      <c r="M476" s="220">
        <f t="shared" si="133"/>
        <v>0</v>
      </c>
      <c r="N476" s="221">
        <f t="shared" si="129"/>
        <v>5644533040</v>
      </c>
      <c r="O476" s="221">
        <f t="shared" si="129"/>
        <v>10999031456</v>
      </c>
      <c r="P476" s="238">
        <f>SUM(P477:P480)</f>
        <v>10999033</v>
      </c>
    </row>
    <row r="477" spans="1:16" ht="11.25">
      <c r="A477" s="195">
        <v>510401</v>
      </c>
      <c r="B477" s="125" t="s">
        <v>1697</v>
      </c>
      <c r="C477" s="184">
        <v>4445628</v>
      </c>
      <c r="D477" s="125">
        <v>0</v>
      </c>
      <c r="E477" s="229">
        <v>84794845</v>
      </c>
      <c r="F477" s="224">
        <v>22177920</v>
      </c>
      <c r="G477" s="224">
        <v>0</v>
      </c>
      <c r="H477" s="224">
        <v>3512842510</v>
      </c>
      <c r="I477" s="224">
        <v>0</v>
      </c>
      <c r="J477" s="224">
        <v>46824430</v>
      </c>
      <c r="K477" s="224">
        <v>8027472829</v>
      </c>
      <c r="L477" s="223">
        <v>3581845</v>
      </c>
      <c r="M477" s="223"/>
      <c r="N477" s="221">
        <f t="shared" si="129"/>
        <v>3581844860</v>
      </c>
      <c r="O477" s="221">
        <f t="shared" si="129"/>
        <v>8027472829</v>
      </c>
      <c r="P477" s="239">
        <f>+C477+L477-M477</f>
        <v>8027473</v>
      </c>
    </row>
    <row r="478" spans="1:16" ht="11.25">
      <c r="A478" s="195">
        <v>510402</v>
      </c>
      <c r="B478" s="125" t="s">
        <v>1698</v>
      </c>
      <c r="C478" s="184">
        <v>35327</v>
      </c>
      <c r="D478" s="125">
        <v>0</v>
      </c>
      <c r="E478" s="229">
        <v>16621799</v>
      </c>
      <c r="F478" s="224">
        <v>3696320</v>
      </c>
      <c r="G478" s="224">
        <v>0</v>
      </c>
      <c r="H478" s="224">
        <v>4054145</v>
      </c>
      <c r="I478" s="224">
        <v>0</v>
      </c>
      <c r="J478" s="224">
        <v>7804105</v>
      </c>
      <c r="K478" s="224">
        <v>50881317</v>
      </c>
      <c r="L478" s="223">
        <v>15555</v>
      </c>
      <c r="M478" s="223"/>
      <c r="N478" s="221">
        <f t="shared" si="129"/>
        <v>15554570</v>
      </c>
      <c r="O478" s="221">
        <f t="shared" si="129"/>
        <v>50881317</v>
      </c>
      <c r="P478" s="239">
        <f>+C478+L478-M478</f>
        <v>50882</v>
      </c>
    </row>
    <row r="479" spans="1:16" ht="11.25">
      <c r="A479" s="195">
        <v>510403</v>
      </c>
      <c r="B479" s="125" t="s">
        <v>1699</v>
      </c>
      <c r="C479" s="184">
        <v>738336</v>
      </c>
      <c r="D479" s="125">
        <v>0</v>
      </c>
      <c r="E479" s="229">
        <v>54402809</v>
      </c>
      <c r="F479" s="224">
        <v>4166320</v>
      </c>
      <c r="G479" s="224">
        <v>0</v>
      </c>
      <c r="H479" s="224">
        <v>4054145</v>
      </c>
      <c r="I479" s="224">
        <v>0</v>
      </c>
      <c r="J479" s="224">
        <v>2007804105</v>
      </c>
      <c r="K479" s="224">
        <v>2754361427</v>
      </c>
      <c r="L479" s="223">
        <v>2016025</v>
      </c>
      <c r="M479" s="223"/>
      <c r="N479" s="221">
        <f t="shared" si="129"/>
        <v>2016024570</v>
      </c>
      <c r="O479" s="221">
        <f t="shared" si="129"/>
        <v>2754361427</v>
      </c>
      <c r="P479" s="239">
        <f>+C479+L479-M479</f>
        <v>2754361</v>
      </c>
    </row>
    <row r="480" spans="1:16" ht="22.5">
      <c r="A480" s="195">
        <v>510404</v>
      </c>
      <c r="B480" s="125" t="s">
        <v>1700</v>
      </c>
      <c r="C480" s="184">
        <v>135208</v>
      </c>
      <c r="D480" s="125">
        <v>0</v>
      </c>
      <c r="E480" s="229">
        <v>162283106</v>
      </c>
      <c r="F480" s="224">
        <v>7392640</v>
      </c>
      <c r="G480" s="224">
        <v>0</v>
      </c>
      <c r="H480" s="224">
        <v>8108290</v>
      </c>
      <c r="I480" s="224">
        <v>0</v>
      </c>
      <c r="J480" s="224">
        <v>15608110</v>
      </c>
      <c r="K480" s="224">
        <v>166315883</v>
      </c>
      <c r="L480" s="223">
        <v>31109</v>
      </c>
      <c r="M480" s="223"/>
      <c r="N480" s="221">
        <f t="shared" si="129"/>
        <v>31109040</v>
      </c>
      <c r="O480" s="221">
        <f t="shared" si="129"/>
        <v>166315883</v>
      </c>
      <c r="P480" s="239">
        <f>+C480+L480-M480</f>
        <v>166317</v>
      </c>
    </row>
    <row r="481" spans="1:16" ht="11.25">
      <c r="A481" s="194">
        <v>511100</v>
      </c>
      <c r="B481" s="124" t="s">
        <v>1701</v>
      </c>
      <c r="C481" s="220">
        <f aca="true" t="shared" si="134" ref="C481:M481">SUM(C482:C513)</f>
        <v>2943649</v>
      </c>
      <c r="D481" s="220">
        <f t="shared" si="134"/>
        <v>0</v>
      </c>
      <c r="E481" s="220">
        <f t="shared" si="134"/>
        <v>-136253148.6</v>
      </c>
      <c r="F481" s="220">
        <f t="shared" si="134"/>
        <v>425899023.16</v>
      </c>
      <c r="G481" s="220">
        <f t="shared" si="134"/>
        <v>386279587.56</v>
      </c>
      <c r="H481" s="220">
        <f t="shared" si="134"/>
        <v>240594264.96</v>
      </c>
      <c r="I481" s="220">
        <f t="shared" si="134"/>
        <v>41765592</v>
      </c>
      <c r="J481" s="220">
        <f t="shared" si="134"/>
        <v>491015449.61999995</v>
      </c>
      <c r="K481" s="220">
        <f t="shared" si="134"/>
        <v>3673113111.9400005</v>
      </c>
      <c r="L481" s="220">
        <f t="shared" si="134"/>
        <v>1157511</v>
      </c>
      <c r="M481" s="220">
        <f t="shared" si="134"/>
        <v>488239</v>
      </c>
      <c r="N481" s="221">
        <f t="shared" si="129"/>
        <v>1157508737.74</v>
      </c>
      <c r="O481" s="221">
        <f t="shared" si="129"/>
        <v>4101158291.5000005</v>
      </c>
      <c r="P481" s="238">
        <f>SUM(P482:P513)</f>
        <v>3612921</v>
      </c>
    </row>
    <row r="482" spans="1:16" ht="11.25">
      <c r="A482" s="195">
        <v>511103</v>
      </c>
      <c r="B482" s="125" t="s">
        <v>1702</v>
      </c>
      <c r="C482" s="184">
        <v>0</v>
      </c>
      <c r="D482" s="125">
        <v>0</v>
      </c>
      <c r="E482" s="229">
        <v>0</v>
      </c>
      <c r="F482" s="224"/>
      <c r="G482" s="224"/>
      <c r="H482" s="224"/>
      <c r="I482" s="224"/>
      <c r="J482" s="224"/>
      <c r="K482" s="224"/>
      <c r="L482" s="223">
        <v>0</v>
      </c>
      <c r="M482" s="223">
        <v>0</v>
      </c>
      <c r="N482" s="221">
        <f t="shared" si="129"/>
        <v>0</v>
      </c>
      <c r="O482" s="221">
        <f t="shared" si="129"/>
        <v>0</v>
      </c>
      <c r="P482" s="238">
        <f aca="true" t="shared" si="135" ref="P482:P513">+C482+L482-M482</f>
        <v>0</v>
      </c>
    </row>
    <row r="483" spans="1:16" ht="11.25">
      <c r="A483" s="195">
        <v>511104</v>
      </c>
      <c r="B483" s="125" t="s">
        <v>1703</v>
      </c>
      <c r="C483" s="184">
        <v>0</v>
      </c>
      <c r="D483" s="125">
        <v>0</v>
      </c>
      <c r="E483" s="229">
        <v>0</v>
      </c>
      <c r="F483" s="224"/>
      <c r="G483" s="224"/>
      <c r="H483" s="224"/>
      <c r="I483" s="224"/>
      <c r="J483" s="224"/>
      <c r="K483" s="224"/>
      <c r="L483" s="223">
        <v>0</v>
      </c>
      <c r="M483" s="223">
        <v>0</v>
      </c>
      <c r="N483" s="221">
        <f t="shared" si="129"/>
        <v>0</v>
      </c>
      <c r="O483" s="221">
        <f t="shared" si="129"/>
        <v>0</v>
      </c>
      <c r="P483" s="238">
        <f t="shared" si="135"/>
        <v>0</v>
      </c>
    </row>
    <row r="484" spans="1:16" ht="11.25">
      <c r="A484" s="195">
        <v>511106</v>
      </c>
      <c r="B484" s="125" t="s">
        <v>856</v>
      </c>
      <c r="C484" s="184">
        <v>50134</v>
      </c>
      <c r="D484" s="125">
        <v>0</v>
      </c>
      <c r="E484" s="229">
        <v>50134</v>
      </c>
      <c r="F484" s="224"/>
      <c r="G484" s="224"/>
      <c r="H484" s="224">
        <v>22250000</v>
      </c>
      <c r="I484" s="224">
        <v>0</v>
      </c>
      <c r="J484" s="224">
        <v>0</v>
      </c>
      <c r="K484" s="224">
        <v>72383214</v>
      </c>
      <c r="L484" s="223">
        <v>22250</v>
      </c>
      <c r="M484" s="223"/>
      <c r="N484" s="221">
        <f t="shared" si="129"/>
        <v>22250000</v>
      </c>
      <c r="O484" s="221">
        <f t="shared" si="129"/>
        <v>72383214</v>
      </c>
      <c r="P484" s="239">
        <f t="shared" si="135"/>
        <v>72384</v>
      </c>
    </row>
    <row r="485" spans="1:16" ht="11.25">
      <c r="A485" s="195">
        <v>511109</v>
      </c>
      <c r="B485" s="125" t="s">
        <v>857</v>
      </c>
      <c r="C485" s="184">
        <v>31862</v>
      </c>
      <c r="D485" s="125">
        <v>0</v>
      </c>
      <c r="E485" s="229">
        <v>31862</v>
      </c>
      <c r="F485" s="224"/>
      <c r="G485" s="224"/>
      <c r="H485" s="224">
        <v>0</v>
      </c>
      <c r="I485" s="224">
        <v>0</v>
      </c>
      <c r="J485" s="224">
        <v>0</v>
      </c>
      <c r="K485" s="224">
        <v>31861881</v>
      </c>
      <c r="L485" s="223">
        <v>0</v>
      </c>
      <c r="M485" s="223"/>
      <c r="N485" s="221">
        <f t="shared" si="129"/>
        <v>0</v>
      </c>
      <c r="O485" s="221">
        <f t="shared" si="129"/>
        <v>31861881</v>
      </c>
      <c r="P485" s="239">
        <f t="shared" si="135"/>
        <v>31862</v>
      </c>
    </row>
    <row r="486" spans="1:16" ht="11.25">
      <c r="A486" s="195">
        <v>511111</v>
      </c>
      <c r="B486" s="125" t="s">
        <v>1704</v>
      </c>
      <c r="C486" s="184">
        <v>453553</v>
      </c>
      <c r="D486" s="125">
        <v>0</v>
      </c>
      <c r="E486" s="229">
        <v>-593526606</v>
      </c>
      <c r="F486" s="224">
        <v>46312502</v>
      </c>
      <c r="G486" s="224">
        <v>0</v>
      </c>
      <c r="H486" s="224">
        <v>5418111.7</v>
      </c>
      <c r="I486" s="224">
        <v>0</v>
      </c>
      <c r="J486" s="224">
        <v>18412920</v>
      </c>
      <c r="K486" s="224">
        <v>523697035.7</v>
      </c>
      <c r="L486" s="223">
        <v>70144</v>
      </c>
      <c r="M486" s="223">
        <v>36731</v>
      </c>
      <c r="N486" s="221">
        <f t="shared" si="129"/>
        <v>70143533.7</v>
      </c>
      <c r="O486" s="221">
        <f t="shared" si="129"/>
        <v>523697035.7</v>
      </c>
      <c r="P486" s="239">
        <f t="shared" si="135"/>
        <v>486966</v>
      </c>
    </row>
    <row r="487" spans="1:16" ht="11.25">
      <c r="A487" s="195">
        <v>511113</v>
      </c>
      <c r="B487" s="125" t="s">
        <v>1705</v>
      </c>
      <c r="C487" s="184">
        <v>231352</v>
      </c>
      <c r="D487" s="125">
        <v>0</v>
      </c>
      <c r="E487" s="229">
        <v>84381724</v>
      </c>
      <c r="F487" s="224">
        <v>26198342</v>
      </c>
      <c r="G487" s="224">
        <v>0</v>
      </c>
      <c r="H487" s="224">
        <v>26198342</v>
      </c>
      <c r="I487" s="224">
        <v>0</v>
      </c>
      <c r="J487" s="224">
        <v>26198342</v>
      </c>
      <c r="K487" s="224">
        <v>309947005.94</v>
      </c>
      <c r="L487" s="223">
        <v>78595</v>
      </c>
      <c r="M487" s="223"/>
      <c r="N487" s="221">
        <f t="shared" si="129"/>
        <v>78595026</v>
      </c>
      <c r="O487" s="221">
        <f t="shared" si="129"/>
        <v>309947005.94</v>
      </c>
      <c r="P487" s="239">
        <f t="shared" si="135"/>
        <v>309947</v>
      </c>
    </row>
    <row r="488" spans="1:16" ht="11.25">
      <c r="A488" s="195">
        <v>511114</v>
      </c>
      <c r="B488" s="125" t="s">
        <v>1706</v>
      </c>
      <c r="C488" s="184">
        <v>369380</v>
      </c>
      <c r="D488" s="125">
        <v>0</v>
      </c>
      <c r="E488" s="229">
        <v>38575931.04000001</v>
      </c>
      <c r="F488" s="224">
        <v>130237701.59</v>
      </c>
      <c r="G488" s="224">
        <v>93916261.56</v>
      </c>
      <c r="H488" s="224">
        <v>16756188.43</v>
      </c>
      <c r="I488" s="224">
        <v>35215396</v>
      </c>
      <c r="J488" s="224">
        <v>20194087.770000003</v>
      </c>
      <c r="K488" s="224">
        <v>407437115.83000004</v>
      </c>
      <c r="L488" s="223">
        <v>167188</v>
      </c>
      <c r="M488" s="223">
        <v>134331</v>
      </c>
      <c r="N488" s="221">
        <f t="shared" si="129"/>
        <v>167187977.79000002</v>
      </c>
      <c r="O488" s="221">
        <f t="shared" si="129"/>
        <v>536568773.39000005</v>
      </c>
      <c r="P488" s="239">
        <f t="shared" si="135"/>
        <v>402237</v>
      </c>
    </row>
    <row r="489" spans="1:16" ht="11.25">
      <c r="A489" s="195">
        <v>511115</v>
      </c>
      <c r="B489" s="125" t="s">
        <v>850</v>
      </c>
      <c r="C489" s="184">
        <v>155023</v>
      </c>
      <c r="D489" s="125">
        <v>0</v>
      </c>
      <c r="E489" s="229">
        <v>-129728324</v>
      </c>
      <c r="F489" s="224">
        <v>37101595</v>
      </c>
      <c r="G489" s="224">
        <v>23000688</v>
      </c>
      <c r="H489" s="224">
        <v>31230355</v>
      </c>
      <c r="I489" s="224">
        <v>0</v>
      </c>
      <c r="J489" s="224">
        <v>53904990</v>
      </c>
      <c r="K489" s="224">
        <v>254258825.01999998</v>
      </c>
      <c r="L489" s="223">
        <v>122237</v>
      </c>
      <c r="M489" s="223">
        <v>23001</v>
      </c>
      <c r="N489" s="221">
        <f t="shared" si="129"/>
        <v>122236940</v>
      </c>
      <c r="O489" s="221">
        <f t="shared" si="129"/>
        <v>277259513.02</v>
      </c>
      <c r="P489" s="239">
        <f t="shared" si="135"/>
        <v>254259</v>
      </c>
    </row>
    <row r="490" spans="1:16" ht="11.25">
      <c r="A490" s="195">
        <v>511116</v>
      </c>
      <c r="B490" s="125" t="s">
        <v>1707</v>
      </c>
      <c r="C490" s="184">
        <v>0</v>
      </c>
      <c r="D490" s="125">
        <v>0</v>
      </c>
      <c r="E490" s="229">
        <v>-3507200</v>
      </c>
      <c r="F490" s="224"/>
      <c r="G490" s="224"/>
      <c r="H490" s="224"/>
      <c r="I490" s="224"/>
      <c r="J490" s="224">
        <v>3637651</v>
      </c>
      <c r="K490" s="224">
        <v>3637651</v>
      </c>
      <c r="L490" s="223">
        <v>3638</v>
      </c>
      <c r="M490" s="223">
        <v>3638</v>
      </c>
      <c r="N490" s="221">
        <f t="shared" si="129"/>
        <v>3637651</v>
      </c>
      <c r="O490" s="221">
        <f t="shared" si="129"/>
        <v>3637651</v>
      </c>
      <c r="P490" s="238">
        <f t="shared" si="135"/>
        <v>0</v>
      </c>
    </row>
    <row r="491" spans="1:16" ht="11.25">
      <c r="A491" s="195">
        <v>511117</v>
      </c>
      <c r="B491" s="125" t="s">
        <v>926</v>
      </c>
      <c r="C491" s="184">
        <v>338328</v>
      </c>
      <c r="D491" s="125">
        <v>0</v>
      </c>
      <c r="E491" s="229">
        <v>84549087.21000001</v>
      </c>
      <c r="F491" s="224">
        <v>52679363</v>
      </c>
      <c r="G491" s="224">
        <v>0</v>
      </c>
      <c r="H491" s="224">
        <v>15785085</v>
      </c>
      <c r="I491" s="224">
        <v>0</v>
      </c>
      <c r="J491" s="224">
        <v>171296886.27999997</v>
      </c>
      <c r="K491" s="224">
        <v>578089483.9399999</v>
      </c>
      <c r="L491" s="223">
        <v>239761</v>
      </c>
      <c r="M491" s="223"/>
      <c r="N491" s="221">
        <f t="shared" si="129"/>
        <v>239761334.27999997</v>
      </c>
      <c r="O491" s="221">
        <f t="shared" si="129"/>
        <v>578089483.9399999</v>
      </c>
      <c r="P491" s="239">
        <f t="shared" si="135"/>
        <v>578089</v>
      </c>
    </row>
    <row r="492" spans="1:16" ht="11.25">
      <c r="A492" s="195">
        <v>511118</v>
      </c>
      <c r="B492" s="125" t="s">
        <v>3499</v>
      </c>
      <c r="C492" s="184">
        <v>25290</v>
      </c>
      <c r="D492" s="125">
        <v>0</v>
      </c>
      <c r="E492" s="229">
        <v>16081192</v>
      </c>
      <c r="F492" s="224"/>
      <c r="G492" s="224"/>
      <c r="H492" s="224">
        <v>3570800</v>
      </c>
      <c r="I492" s="224">
        <v>0</v>
      </c>
      <c r="J492" s="224">
        <v>3570800</v>
      </c>
      <c r="K492" s="224">
        <v>32431707</v>
      </c>
      <c r="L492" s="223">
        <v>7142</v>
      </c>
      <c r="M492" s="223"/>
      <c r="N492" s="221">
        <f t="shared" si="129"/>
        <v>7141600</v>
      </c>
      <c r="O492" s="221">
        <f t="shared" si="129"/>
        <v>32431707</v>
      </c>
      <c r="P492" s="239">
        <f t="shared" si="135"/>
        <v>32432</v>
      </c>
    </row>
    <row r="493" spans="1:16" ht="11.25">
      <c r="A493" s="195">
        <v>511119</v>
      </c>
      <c r="B493" s="125" t="s">
        <v>1708</v>
      </c>
      <c r="C493" s="184">
        <v>566924</v>
      </c>
      <c r="D493" s="125">
        <v>0</v>
      </c>
      <c r="E493" s="229">
        <v>241928874</v>
      </c>
      <c r="F493" s="224">
        <v>64375439.74</v>
      </c>
      <c r="G493" s="224">
        <v>263405437</v>
      </c>
      <c r="H493" s="224">
        <v>28495277</v>
      </c>
      <c r="I493" s="224">
        <v>0</v>
      </c>
      <c r="J493" s="224">
        <v>71932380.24000001</v>
      </c>
      <c r="K493" s="224">
        <v>468320948.74</v>
      </c>
      <c r="L493" s="223">
        <v>164803</v>
      </c>
      <c r="M493" s="223">
        <v>265531</v>
      </c>
      <c r="N493" s="221">
        <f t="shared" si="129"/>
        <v>164803096.98000002</v>
      </c>
      <c r="O493" s="221">
        <f t="shared" si="129"/>
        <v>731726385.74</v>
      </c>
      <c r="P493" s="239">
        <f t="shared" si="135"/>
        <v>466196</v>
      </c>
    </row>
    <row r="494" spans="1:16" ht="11.25">
      <c r="A494" s="195">
        <v>511120</v>
      </c>
      <c r="B494" s="125" t="s">
        <v>1709</v>
      </c>
      <c r="C494" s="184">
        <v>48329</v>
      </c>
      <c r="D494" s="125">
        <v>0</v>
      </c>
      <c r="E494" s="229">
        <v>48329</v>
      </c>
      <c r="F494" s="224"/>
      <c r="G494" s="224"/>
      <c r="H494" s="224">
        <v>218000</v>
      </c>
      <c r="I494" s="224">
        <v>0</v>
      </c>
      <c r="J494" s="224">
        <v>0</v>
      </c>
      <c r="K494" s="224">
        <v>48547324</v>
      </c>
      <c r="L494" s="223">
        <v>218</v>
      </c>
      <c r="M494" s="223"/>
      <c r="N494" s="221">
        <f t="shared" si="129"/>
        <v>218000</v>
      </c>
      <c r="O494" s="221">
        <f t="shared" si="129"/>
        <v>48547324</v>
      </c>
      <c r="P494" s="239">
        <f t="shared" si="135"/>
        <v>48547</v>
      </c>
    </row>
    <row r="495" spans="1:16" ht="22.5">
      <c r="A495" s="195">
        <v>511121</v>
      </c>
      <c r="B495" s="125" t="s">
        <v>1710</v>
      </c>
      <c r="C495" s="184">
        <v>73107</v>
      </c>
      <c r="D495" s="125">
        <v>0</v>
      </c>
      <c r="E495" s="229">
        <v>32831654.659999996</v>
      </c>
      <c r="F495" s="224">
        <v>3736200</v>
      </c>
      <c r="G495" s="224">
        <v>190000</v>
      </c>
      <c r="H495" s="224">
        <v>2287848</v>
      </c>
      <c r="I495" s="224">
        <v>0</v>
      </c>
      <c r="J495" s="224">
        <v>3769600</v>
      </c>
      <c r="K495" s="224">
        <v>82711642.63</v>
      </c>
      <c r="L495" s="223">
        <v>9794</v>
      </c>
      <c r="M495" s="223">
        <v>189</v>
      </c>
      <c r="N495" s="221">
        <f t="shared" si="129"/>
        <v>9793648</v>
      </c>
      <c r="O495" s="221">
        <f t="shared" si="129"/>
        <v>82901642.63</v>
      </c>
      <c r="P495" s="239">
        <f t="shared" si="135"/>
        <v>82712</v>
      </c>
    </row>
    <row r="496" spans="1:16" ht="11.25">
      <c r="A496" s="195">
        <v>511122</v>
      </c>
      <c r="B496" s="125" t="s">
        <v>1711</v>
      </c>
      <c r="C496" s="184">
        <v>8501</v>
      </c>
      <c r="D496" s="125">
        <v>0</v>
      </c>
      <c r="E496" s="229">
        <v>-11572254</v>
      </c>
      <c r="F496" s="224"/>
      <c r="G496" s="224"/>
      <c r="H496" s="224">
        <v>0</v>
      </c>
      <c r="I496" s="224">
        <v>0</v>
      </c>
      <c r="J496" s="224">
        <v>0</v>
      </c>
      <c r="K496" s="224">
        <v>8500770</v>
      </c>
      <c r="L496" s="223">
        <v>0</v>
      </c>
      <c r="M496" s="223">
        <v>1500</v>
      </c>
      <c r="N496" s="221">
        <f t="shared" si="129"/>
        <v>0</v>
      </c>
      <c r="O496" s="221">
        <f t="shared" si="129"/>
        <v>8500770</v>
      </c>
      <c r="P496" s="239">
        <f t="shared" si="135"/>
        <v>7001</v>
      </c>
    </row>
    <row r="497" spans="1:16" ht="11.25">
      <c r="A497" s="195">
        <v>511123</v>
      </c>
      <c r="B497" s="125" t="s">
        <v>1712</v>
      </c>
      <c r="C497" s="184">
        <v>122110</v>
      </c>
      <c r="D497" s="125">
        <v>0</v>
      </c>
      <c r="E497" s="229">
        <v>14353377</v>
      </c>
      <c r="F497" s="224">
        <v>16217100</v>
      </c>
      <c r="G497" s="224">
        <v>0</v>
      </c>
      <c r="H497" s="224">
        <v>13257300</v>
      </c>
      <c r="I497" s="224">
        <v>0</v>
      </c>
      <c r="J497" s="224">
        <v>13862274</v>
      </c>
      <c r="K497" s="224">
        <v>165446465</v>
      </c>
      <c r="L497" s="223">
        <v>43337</v>
      </c>
      <c r="M497" s="223"/>
      <c r="N497" s="221">
        <f t="shared" si="129"/>
        <v>43336674</v>
      </c>
      <c r="O497" s="221">
        <f t="shared" si="129"/>
        <v>165446465</v>
      </c>
      <c r="P497" s="239">
        <f t="shared" si="135"/>
        <v>165447</v>
      </c>
    </row>
    <row r="498" spans="1:16" ht="11.25">
      <c r="A498" s="195">
        <v>511125</v>
      </c>
      <c r="B498" s="125" t="s">
        <v>1713</v>
      </c>
      <c r="C498" s="184">
        <v>146054</v>
      </c>
      <c r="D498" s="125">
        <v>0</v>
      </c>
      <c r="E498" s="229">
        <v>11334487.490000002</v>
      </c>
      <c r="F498" s="224">
        <v>11525010.83</v>
      </c>
      <c r="G498" s="224">
        <v>0</v>
      </c>
      <c r="H498" s="224">
        <v>11525010.83</v>
      </c>
      <c r="I498" s="224">
        <v>0</v>
      </c>
      <c r="J498" s="224">
        <v>11732223.83</v>
      </c>
      <c r="K498" s="224">
        <v>180836443.32</v>
      </c>
      <c r="L498" s="223">
        <v>34782</v>
      </c>
      <c r="M498" s="223"/>
      <c r="N498" s="221">
        <f t="shared" si="129"/>
        <v>34782245.49</v>
      </c>
      <c r="O498" s="221">
        <f t="shared" si="129"/>
        <v>180836443.32</v>
      </c>
      <c r="P498" s="239">
        <f t="shared" si="135"/>
        <v>180836</v>
      </c>
    </row>
    <row r="499" spans="1:16" ht="11.25">
      <c r="A499" s="195">
        <v>511126</v>
      </c>
      <c r="B499" s="125" t="s">
        <v>1714</v>
      </c>
      <c r="C499" s="184">
        <v>0</v>
      </c>
      <c r="D499" s="125">
        <v>0</v>
      </c>
      <c r="E499" s="229">
        <v>0</v>
      </c>
      <c r="F499" s="224"/>
      <c r="G499" s="224"/>
      <c r="H499" s="224"/>
      <c r="I499" s="224"/>
      <c r="J499" s="224"/>
      <c r="K499" s="224"/>
      <c r="L499" s="223">
        <v>0</v>
      </c>
      <c r="M499" s="223">
        <v>0</v>
      </c>
      <c r="N499" s="221">
        <f t="shared" si="129"/>
        <v>0</v>
      </c>
      <c r="O499" s="221">
        <f t="shared" si="129"/>
        <v>0</v>
      </c>
      <c r="P499" s="238">
        <f t="shared" si="135"/>
        <v>0</v>
      </c>
    </row>
    <row r="500" spans="1:16" ht="11.25">
      <c r="A500" s="195">
        <v>511127</v>
      </c>
      <c r="B500" s="125" t="s">
        <v>1715</v>
      </c>
      <c r="C500" s="184">
        <v>29928</v>
      </c>
      <c r="D500" s="125">
        <v>0</v>
      </c>
      <c r="E500" s="229">
        <v>29928</v>
      </c>
      <c r="F500" s="224"/>
      <c r="G500" s="224"/>
      <c r="H500" s="224">
        <v>0</v>
      </c>
      <c r="I500" s="224">
        <v>0</v>
      </c>
      <c r="J500" s="224">
        <v>0</v>
      </c>
      <c r="K500" s="224">
        <v>29928000</v>
      </c>
      <c r="L500" s="223">
        <v>0</v>
      </c>
      <c r="M500" s="223"/>
      <c r="N500" s="221">
        <f t="shared" si="129"/>
        <v>0</v>
      </c>
      <c r="O500" s="221">
        <f t="shared" si="129"/>
        <v>29928000</v>
      </c>
      <c r="P500" s="239">
        <f t="shared" si="135"/>
        <v>29928</v>
      </c>
    </row>
    <row r="501" spans="1:16" ht="11.25">
      <c r="A501" s="195">
        <v>511128</v>
      </c>
      <c r="B501" s="125" t="s">
        <v>1716</v>
      </c>
      <c r="C501" s="184">
        <v>0</v>
      </c>
      <c r="D501" s="125">
        <v>0</v>
      </c>
      <c r="E501" s="229">
        <v>-1500000</v>
      </c>
      <c r="F501" s="224"/>
      <c r="G501" s="224"/>
      <c r="H501" s="224"/>
      <c r="I501" s="224"/>
      <c r="J501" s="125"/>
      <c r="K501" s="125"/>
      <c r="L501" s="223">
        <v>0</v>
      </c>
      <c r="M501" s="223">
        <v>0</v>
      </c>
      <c r="N501" s="221">
        <f t="shared" si="129"/>
        <v>0</v>
      </c>
      <c r="O501" s="221">
        <f t="shared" si="129"/>
        <v>0</v>
      </c>
      <c r="P501" s="238">
        <f t="shared" si="135"/>
        <v>0</v>
      </c>
    </row>
    <row r="502" spans="1:16" ht="11.25">
      <c r="A502" s="195">
        <v>511131</v>
      </c>
      <c r="B502" s="125" t="s">
        <v>1717</v>
      </c>
      <c r="C502" s="184">
        <v>0</v>
      </c>
      <c r="D502" s="125">
        <v>0</v>
      </c>
      <c r="E502" s="229">
        <v>0</v>
      </c>
      <c r="F502" s="224"/>
      <c r="G502" s="224"/>
      <c r="H502" s="224"/>
      <c r="I502" s="224"/>
      <c r="J502" s="125"/>
      <c r="K502" s="125"/>
      <c r="L502" s="223">
        <v>0</v>
      </c>
      <c r="M502" s="223">
        <v>0</v>
      </c>
      <c r="N502" s="221">
        <f t="shared" si="129"/>
        <v>0</v>
      </c>
      <c r="O502" s="221">
        <f t="shared" si="129"/>
        <v>0</v>
      </c>
      <c r="P502" s="238">
        <f t="shared" si="135"/>
        <v>0</v>
      </c>
    </row>
    <row r="503" spans="1:16" ht="11.25">
      <c r="A503" s="195">
        <v>511132</v>
      </c>
      <c r="B503" s="125" t="s">
        <v>1718</v>
      </c>
      <c r="C503" s="184">
        <v>5000</v>
      </c>
      <c r="D503" s="125">
        <v>0</v>
      </c>
      <c r="E503" s="229">
        <v>5000</v>
      </c>
      <c r="F503" s="224"/>
      <c r="G503" s="224"/>
      <c r="H503" s="224">
        <v>0</v>
      </c>
      <c r="I503" s="224">
        <v>0</v>
      </c>
      <c r="J503" s="224">
        <v>0</v>
      </c>
      <c r="K503" s="224">
        <v>5000000</v>
      </c>
      <c r="L503" s="223">
        <v>0</v>
      </c>
      <c r="M503" s="223"/>
      <c r="N503" s="221">
        <f t="shared" si="129"/>
        <v>0</v>
      </c>
      <c r="O503" s="221">
        <f t="shared" si="129"/>
        <v>5000000</v>
      </c>
      <c r="P503" s="239">
        <f t="shared" si="135"/>
        <v>5000</v>
      </c>
    </row>
    <row r="504" spans="1:16" ht="11.25">
      <c r="A504" s="195">
        <v>511133</v>
      </c>
      <c r="B504" s="125" t="s">
        <v>1719</v>
      </c>
      <c r="C504" s="184">
        <v>0</v>
      </c>
      <c r="D504" s="125">
        <v>0</v>
      </c>
      <c r="E504" s="229">
        <v>-2600000</v>
      </c>
      <c r="F504" s="224"/>
      <c r="G504" s="224"/>
      <c r="H504" s="224"/>
      <c r="I504" s="224"/>
      <c r="J504" s="224"/>
      <c r="K504" s="224"/>
      <c r="L504" s="223">
        <v>0</v>
      </c>
      <c r="M504" s="223">
        <v>0</v>
      </c>
      <c r="N504" s="221">
        <f t="shared" si="129"/>
        <v>0</v>
      </c>
      <c r="O504" s="221">
        <f t="shared" si="129"/>
        <v>0</v>
      </c>
      <c r="P504" s="238">
        <f t="shared" si="135"/>
        <v>0</v>
      </c>
    </row>
    <row r="505" spans="1:16" ht="11.25">
      <c r="A505" s="195">
        <v>511136</v>
      </c>
      <c r="B505" s="125" t="s">
        <v>1720</v>
      </c>
      <c r="C505" s="184">
        <v>0</v>
      </c>
      <c r="D505" s="125">
        <v>0</v>
      </c>
      <c r="E505" s="229">
        <v>-32936139</v>
      </c>
      <c r="F505" s="224"/>
      <c r="G505" s="224"/>
      <c r="H505" s="224"/>
      <c r="I505" s="224"/>
      <c r="J505" s="224"/>
      <c r="K505" s="224"/>
      <c r="L505" s="223">
        <v>0</v>
      </c>
      <c r="M505" s="223">
        <v>0</v>
      </c>
      <c r="N505" s="221">
        <f t="shared" si="129"/>
        <v>0</v>
      </c>
      <c r="O505" s="221">
        <f t="shared" si="129"/>
        <v>0</v>
      </c>
      <c r="P505" s="238">
        <f t="shared" si="135"/>
        <v>0</v>
      </c>
    </row>
    <row r="506" spans="1:16" ht="11.25">
      <c r="A506" s="195">
        <v>511137</v>
      </c>
      <c r="B506" s="125" t="s">
        <v>1721</v>
      </c>
      <c r="C506" s="184">
        <v>8955</v>
      </c>
      <c r="D506" s="125">
        <v>0</v>
      </c>
      <c r="E506" s="229">
        <v>8955</v>
      </c>
      <c r="F506" s="224"/>
      <c r="G506" s="224"/>
      <c r="H506" s="224">
        <v>0</v>
      </c>
      <c r="I506" s="224">
        <v>0</v>
      </c>
      <c r="J506" s="224">
        <v>0</v>
      </c>
      <c r="K506" s="224">
        <v>8954811</v>
      </c>
      <c r="L506" s="223">
        <v>0</v>
      </c>
      <c r="M506" s="231"/>
      <c r="N506" s="221">
        <f t="shared" si="129"/>
        <v>0</v>
      </c>
      <c r="O506" s="221">
        <f t="shared" si="129"/>
        <v>8954811</v>
      </c>
      <c r="P506" s="239">
        <f t="shared" si="135"/>
        <v>8955</v>
      </c>
    </row>
    <row r="507" spans="1:16" ht="11.25">
      <c r="A507" s="195">
        <v>511146</v>
      </c>
      <c r="B507" s="125" t="s">
        <v>1722</v>
      </c>
      <c r="C507" s="184">
        <v>54026</v>
      </c>
      <c r="D507" s="125">
        <v>0</v>
      </c>
      <c r="E507" s="229">
        <v>13017329</v>
      </c>
      <c r="F507" s="224">
        <v>8075138</v>
      </c>
      <c r="G507" s="224">
        <v>0</v>
      </c>
      <c r="H507" s="224">
        <v>8610307</v>
      </c>
      <c r="I507" s="224">
        <v>0</v>
      </c>
      <c r="J507" s="224">
        <v>24567326</v>
      </c>
      <c r="K507" s="224">
        <v>95278871.32</v>
      </c>
      <c r="L507" s="223">
        <v>41253</v>
      </c>
      <c r="M507" s="223"/>
      <c r="N507" s="221">
        <f t="shared" si="129"/>
        <v>41252771</v>
      </c>
      <c r="O507" s="221">
        <f t="shared" si="129"/>
        <v>95278871.32</v>
      </c>
      <c r="P507" s="239">
        <f t="shared" si="135"/>
        <v>95279</v>
      </c>
    </row>
    <row r="508" spans="1:16" ht="11.25">
      <c r="A508" s="195">
        <v>511149</v>
      </c>
      <c r="B508" s="125" t="s">
        <v>1723</v>
      </c>
      <c r="C508" s="184">
        <v>163866</v>
      </c>
      <c r="D508" s="125">
        <v>0</v>
      </c>
      <c r="E508" s="229">
        <v>67756547</v>
      </c>
      <c r="F508" s="224">
        <v>23673430</v>
      </c>
      <c r="G508" s="224">
        <v>0</v>
      </c>
      <c r="H508" s="224">
        <v>37441444</v>
      </c>
      <c r="I508" s="224">
        <v>0</v>
      </c>
      <c r="J508" s="224">
        <v>17925852</v>
      </c>
      <c r="K508" s="224">
        <v>242906705</v>
      </c>
      <c r="L508" s="223">
        <v>79041</v>
      </c>
      <c r="M508" s="223"/>
      <c r="N508" s="221">
        <f t="shared" si="129"/>
        <v>79040726</v>
      </c>
      <c r="O508" s="221">
        <f t="shared" si="129"/>
        <v>242906705</v>
      </c>
      <c r="P508" s="239">
        <f t="shared" si="135"/>
        <v>242907</v>
      </c>
    </row>
    <row r="509" spans="1:16" ht="11.25">
      <c r="A509" s="195">
        <v>511150</v>
      </c>
      <c r="B509" s="125" t="s">
        <v>1724</v>
      </c>
      <c r="C509" s="184">
        <v>32640</v>
      </c>
      <c r="D509" s="125">
        <v>0</v>
      </c>
      <c r="E509" s="229">
        <v>32640000</v>
      </c>
      <c r="F509" s="224"/>
      <c r="G509" s="224"/>
      <c r="H509" s="224">
        <v>11000000</v>
      </c>
      <c r="I509" s="224">
        <v>0</v>
      </c>
      <c r="J509" s="224">
        <v>0</v>
      </c>
      <c r="K509" s="224">
        <v>43640000</v>
      </c>
      <c r="L509" s="223">
        <v>11000</v>
      </c>
      <c r="M509" s="223">
        <v>11000</v>
      </c>
      <c r="N509" s="221">
        <f t="shared" si="129"/>
        <v>11000000</v>
      </c>
      <c r="O509" s="221">
        <f t="shared" si="129"/>
        <v>43640000</v>
      </c>
      <c r="P509" s="239">
        <f t="shared" si="135"/>
        <v>32640</v>
      </c>
    </row>
    <row r="510" spans="1:16" ht="11.25">
      <c r="A510" s="195">
        <v>511152</v>
      </c>
      <c r="B510" s="125" t="s">
        <v>1725</v>
      </c>
      <c r="C510" s="184">
        <v>0</v>
      </c>
      <c r="D510" s="125">
        <v>0</v>
      </c>
      <c r="E510" s="229">
        <v>-61649</v>
      </c>
      <c r="F510" s="224"/>
      <c r="G510" s="224"/>
      <c r="H510" s="224"/>
      <c r="I510" s="224"/>
      <c r="J510" s="125"/>
      <c r="K510" s="125"/>
      <c r="L510" s="223">
        <v>0</v>
      </c>
      <c r="M510" s="223">
        <v>0</v>
      </c>
      <c r="N510" s="221">
        <f t="shared" si="129"/>
        <v>0</v>
      </c>
      <c r="O510" s="221">
        <f t="shared" si="129"/>
        <v>0</v>
      </c>
      <c r="P510" s="238">
        <f t="shared" si="135"/>
        <v>0</v>
      </c>
    </row>
    <row r="511" spans="1:16" ht="11.25">
      <c r="A511" s="195">
        <v>511154</v>
      </c>
      <c r="B511" s="125" t="s">
        <v>1726</v>
      </c>
      <c r="C511" s="184">
        <v>21722</v>
      </c>
      <c r="D511" s="125">
        <v>0</v>
      </c>
      <c r="E511" s="229">
        <v>436524</v>
      </c>
      <c r="F511" s="224"/>
      <c r="G511" s="224"/>
      <c r="H511" s="224">
        <v>0</v>
      </c>
      <c r="I511" s="224">
        <v>0</v>
      </c>
      <c r="J511" s="224">
        <v>36490613</v>
      </c>
      <c r="K511" s="224">
        <v>58212769</v>
      </c>
      <c r="L511" s="223">
        <v>36491</v>
      </c>
      <c r="M511" s="223"/>
      <c r="N511" s="221">
        <f t="shared" si="129"/>
        <v>36490613</v>
      </c>
      <c r="O511" s="221">
        <f t="shared" si="129"/>
        <v>58212769</v>
      </c>
      <c r="P511" s="239">
        <f t="shared" si="135"/>
        <v>58213</v>
      </c>
    </row>
    <row r="512" spans="1:16" ht="11.25">
      <c r="A512" s="195">
        <v>511155</v>
      </c>
      <c r="B512" s="125" t="s">
        <v>1727</v>
      </c>
      <c r="C512" s="184">
        <v>7565</v>
      </c>
      <c r="D512" s="125">
        <v>0</v>
      </c>
      <c r="E512" s="229">
        <v>1118088</v>
      </c>
      <c r="F512" s="224">
        <v>5767201</v>
      </c>
      <c r="G512" s="224">
        <v>5767201</v>
      </c>
      <c r="H512" s="224">
        <v>6550196</v>
      </c>
      <c r="I512" s="224">
        <v>6550196</v>
      </c>
      <c r="J512" s="224">
        <v>11589503.5</v>
      </c>
      <c r="K512" s="224">
        <v>19154442.5</v>
      </c>
      <c r="L512" s="223">
        <v>23907</v>
      </c>
      <c r="M512" s="223">
        <v>12318</v>
      </c>
      <c r="N512" s="221">
        <f t="shared" si="129"/>
        <v>23906900.5</v>
      </c>
      <c r="O512" s="221">
        <f t="shared" si="129"/>
        <v>31471839.5</v>
      </c>
      <c r="P512" s="239">
        <f t="shared" si="135"/>
        <v>19154</v>
      </c>
    </row>
    <row r="513" spans="1:16" ht="11.25">
      <c r="A513" s="195">
        <v>511190</v>
      </c>
      <c r="B513" s="125" t="s">
        <v>1728</v>
      </c>
      <c r="C513" s="184">
        <v>0</v>
      </c>
      <c r="D513" s="125">
        <v>0</v>
      </c>
      <c r="E513" s="229">
        <v>0</v>
      </c>
      <c r="F513" s="224"/>
      <c r="G513" s="224"/>
      <c r="H513" s="224"/>
      <c r="I513" s="224"/>
      <c r="J513" s="224">
        <v>1930000</v>
      </c>
      <c r="K513" s="224">
        <v>1930000</v>
      </c>
      <c r="L513" s="223">
        <v>1930</v>
      </c>
      <c r="M513" s="223"/>
      <c r="N513" s="221">
        <f t="shared" si="129"/>
        <v>1930000</v>
      </c>
      <c r="O513" s="221">
        <f t="shared" si="129"/>
        <v>1930000</v>
      </c>
      <c r="P513" s="239">
        <f t="shared" si="135"/>
        <v>1930</v>
      </c>
    </row>
    <row r="514" spans="1:16" ht="11.25">
      <c r="A514" s="194">
        <v>512000</v>
      </c>
      <c r="B514" s="124" t="s">
        <v>1729</v>
      </c>
      <c r="C514" s="220">
        <f aca="true" t="shared" si="136" ref="C514:M514">SUM(C515:C529)</f>
        <v>2024863</v>
      </c>
      <c r="D514" s="220">
        <f t="shared" si="136"/>
        <v>0</v>
      </c>
      <c r="E514" s="220">
        <f t="shared" si="136"/>
        <v>-6777865.71</v>
      </c>
      <c r="F514" s="220">
        <f t="shared" si="136"/>
        <v>0</v>
      </c>
      <c r="G514" s="220">
        <f t="shared" si="136"/>
        <v>0</v>
      </c>
      <c r="H514" s="220">
        <f t="shared" si="136"/>
        <v>21868186863</v>
      </c>
      <c r="I514" s="220">
        <f t="shared" si="136"/>
        <v>23010000</v>
      </c>
      <c r="J514" s="220">
        <f t="shared" si="136"/>
        <v>7030025574.89</v>
      </c>
      <c r="K514" s="220">
        <f t="shared" si="136"/>
        <v>30900065915.89</v>
      </c>
      <c r="L514" s="220">
        <f t="shared" si="136"/>
        <v>28898211</v>
      </c>
      <c r="M514" s="220">
        <f t="shared" si="136"/>
        <v>1392379</v>
      </c>
      <c r="N514" s="221">
        <f t="shared" si="129"/>
        <v>28898212437.89</v>
      </c>
      <c r="O514" s="221">
        <f t="shared" si="129"/>
        <v>30923075915.89</v>
      </c>
      <c r="P514" s="238">
        <f>SUM(P515:P529)</f>
        <v>29530695</v>
      </c>
    </row>
    <row r="515" spans="1:16" ht="11.25">
      <c r="A515" s="195">
        <v>512001</v>
      </c>
      <c r="B515" s="125" t="s">
        <v>958</v>
      </c>
      <c r="C515" s="184">
        <v>4667</v>
      </c>
      <c r="D515" s="125">
        <v>0</v>
      </c>
      <c r="E515" s="229">
        <v>4667</v>
      </c>
      <c r="F515" s="224"/>
      <c r="G515" s="224"/>
      <c r="H515" s="224">
        <v>23010000</v>
      </c>
      <c r="I515" s="224">
        <v>0</v>
      </c>
      <c r="J515" s="224">
        <v>92049322</v>
      </c>
      <c r="K515" s="224">
        <v>119726322</v>
      </c>
      <c r="L515" s="223">
        <v>115059</v>
      </c>
      <c r="M515" s="223"/>
      <c r="N515" s="221">
        <f t="shared" si="129"/>
        <v>115059322</v>
      </c>
      <c r="O515" s="221">
        <f t="shared" si="129"/>
        <v>119726322</v>
      </c>
      <c r="P515" s="239">
        <f aca="true" t="shared" si="137" ref="P515:P524">+C515+L515-M515</f>
        <v>119726</v>
      </c>
    </row>
    <row r="516" spans="1:16" ht="11.25">
      <c r="A516" s="195">
        <v>512002</v>
      </c>
      <c r="B516" s="125" t="s">
        <v>1730</v>
      </c>
      <c r="C516" s="184">
        <v>1990733</v>
      </c>
      <c r="D516" s="125">
        <v>0</v>
      </c>
      <c r="E516" s="229">
        <v>1990733</v>
      </c>
      <c r="F516" s="224"/>
      <c r="G516" s="224"/>
      <c r="H516" s="224">
        <v>21845176863</v>
      </c>
      <c r="I516" s="224">
        <v>0</v>
      </c>
      <c r="J516" s="224">
        <v>6846628592.89</v>
      </c>
      <c r="K516" s="224">
        <v>30682538933.89</v>
      </c>
      <c r="L516" s="223">
        <v>28691805</v>
      </c>
      <c r="M516" s="223">
        <v>1278322</v>
      </c>
      <c r="N516" s="221">
        <f t="shared" si="129"/>
        <v>28691805455.89</v>
      </c>
      <c r="O516" s="221">
        <f t="shared" si="129"/>
        <v>30682538933.89</v>
      </c>
      <c r="P516" s="239">
        <f t="shared" si="137"/>
        <v>29404216</v>
      </c>
    </row>
    <row r="517" spans="1:16" ht="11.25">
      <c r="A517" s="195">
        <v>512003</v>
      </c>
      <c r="B517" s="125" t="s">
        <v>1731</v>
      </c>
      <c r="C517" s="184">
        <v>0</v>
      </c>
      <c r="D517" s="125">
        <v>0</v>
      </c>
      <c r="E517" s="229">
        <v>0</v>
      </c>
      <c r="F517" s="224"/>
      <c r="G517" s="224"/>
      <c r="H517" s="224"/>
      <c r="I517" s="224"/>
      <c r="J517" s="224"/>
      <c r="K517" s="224"/>
      <c r="L517" s="223">
        <v>0</v>
      </c>
      <c r="M517" s="223">
        <v>0</v>
      </c>
      <c r="N517" s="221">
        <f t="shared" si="129"/>
        <v>0</v>
      </c>
      <c r="O517" s="221">
        <f t="shared" si="129"/>
        <v>0</v>
      </c>
      <c r="P517" s="238">
        <f t="shared" si="137"/>
        <v>0</v>
      </c>
    </row>
    <row r="518" spans="1:16" ht="11.25">
      <c r="A518" s="195">
        <v>512006</v>
      </c>
      <c r="B518" s="125" t="s">
        <v>959</v>
      </c>
      <c r="C518" s="184">
        <v>23010</v>
      </c>
      <c r="D518" s="125">
        <v>0</v>
      </c>
      <c r="E518" s="229">
        <v>23010</v>
      </c>
      <c r="F518" s="224"/>
      <c r="G518" s="224"/>
      <c r="H518" s="224">
        <v>0</v>
      </c>
      <c r="I518" s="224">
        <v>23010000</v>
      </c>
      <c r="J518" s="224"/>
      <c r="K518" s="224"/>
      <c r="L518" s="223">
        <v>0</v>
      </c>
      <c r="M518" s="223">
        <v>23010</v>
      </c>
      <c r="N518" s="221">
        <f t="shared" si="129"/>
        <v>0</v>
      </c>
      <c r="O518" s="221">
        <f t="shared" si="129"/>
        <v>23010000</v>
      </c>
      <c r="P518" s="238">
        <f t="shared" si="137"/>
        <v>0</v>
      </c>
    </row>
    <row r="519" spans="1:16" ht="11.25">
      <c r="A519" s="195">
        <v>512007</v>
      </c>
      <c r="B519" s="125" t="s">
        <v>3471</v>
      </c>
      <c r="C519" s="184">
        <v>0</v>
      </c>
      <c r="D519" s="125">
        <v>0</v>
      </c>
      <c r="E519" s="229">
        <v>0</v>
      </c>
      <c r="F519" s="224"/>
      <c r="G519" s="224"/>
      <c r="H519" s="224"/>
      <c r="I519" s="224"/>
      <c r="J519" s="224"/>
      <c r="K519" s="224"/>
      <c r="L519" s="223">
        <v>0</v>
      </c>
      <c r="M519" s="223">
        <v>0</v>
      </c>
      <c r="N519" s="221">
        <f t="shared" si="129"/>
        <v>0</v>
      </c>
      <c r="O519" s="221">
        <f t="shared" si="129"/>
        <v>0</v>
      </c>
      <c r="P519" s="238">
        <f t="shared" si="137"/>
        <v>0</v>
      </c>
    </row>
    <row r="520" spans="1:16" ht="11.25">
      <c r="A520" s="195">
        <v>512009</v>
      </c>
      <c r="B520" s="125" t="s">
        <v>1732</v>
      </c>
      <c r="C520" s="184">
        <v>0</v>
      </c>
      <c r="D520" s="125">
        <v>0</v>
      </c>
      <c r="E520" s="229">
        <v>0</v>
      </c>
      <c r="F520" s="224"/>
      <c r="G520" s="224"/>
      <c r="H520" s="224"/>
      <c r="I520" s="224"/>
      <c r="J520" s="224"/>
      <c r="K520" s="224"/>
      <c r="L520" s="223">
        <v>0</v>
      </c>
      <c r="M520" s="223">
        <v>0</v>
      </c>
      <c r="N520" s="221">
        <f t="shared" si="129"/>
        <v>0</v>
      </c>
      <c r="O520" s="221">
        <f t="shared" si="129"/>
        <v>0</v>
      </c>
      <c r="P520" s="238">
        <f t="shared" si="137"/>
        <v>0</v>
      </c>
    </row>
    <row r="521" spans="1:16" ht="11.25">
      <c r="A521" s="195">
        <v>512010</v>
      </c>
      <c r="B521" s="125" t="s">
        <v>3470</v>
      </c>
      <c r="C521" s="184">
        <v>0</v>
      </c>
      <c r="D521" s="125">
        <v>0</v>
      </c>
      <c r="E521" s="229">
        <v>0</v>
      </c>
      <c r="F521" s="224"/>
      <c r="G521" s="224"/>
      <c r="H521" s="224"/>
      <c r="I521" s="224"/>
      <c r="J521" s="224"/>
      <c r="K521" s="224"/>
      <c r="L521" s="223">
        <v>0</v>
      </c>
      <c r="M521" s="223">
        <v>0</v>
      </c>
      <c r="N521" s="221">
        <f t="shared" si="129"/>
        <v>0</v>
      </c>
      <c r="O521" s="221">
        <f t="shared" si="129"/>
        <v>0</v>
      </c>
      <c r="P521" s="238">
        <f t="shared" si="137"/>
        <v>0</v>
      </c>
    </row>
    <row r="522" spans="1:16" ht="11.25">
      <c r="A522" s="195">
        <v>512011</v>
      </c>
      <c r="B522" s="125" t="s">
        <v>961</v>
      </c>
      <c r="C522" s="184">
        <v>6453</v>
      </c>
      <c r="D522" s="125">
        <v>0</v>
      </c>
      <c r="E522" s="229">
        <v>-952547</v>
      </c>
      <c r="F522" s="224"/>
      <c r="G522" s="224"/>
      <c r="H522" s="224">
        <v>0</v>
      </c>
      <c r="I522" s="224">
        <v>0</v>
      </c>
      <c r="J522" s="224">
        <v>0</v>
      </c>
      <c r="K522" s="224">
        <v>6453000</v>
      </c>
      <c r="L522" s="223">
        <v>0</v>
      </c>
      <c r="M522" s="223"/>
      <c r="N522" s="221">
        <f t="shared" si="129"/>
        <v>0</v>
      </c>
      <c r="O522" s="221">
        <f t="shared" si="129"/>
        <v>6453000</v>
      </c>
      <c r="P522" s="239">
        <f t="shared" si="137"/>
        <v>6453</v>
      </c>
    </row>
    <row r="523" spans="1:16" ht="11.25">
      <c r="A523" s="195">
        <v>512024</v>
      </c>
      <c r="B523" s="125" t="s">
        <v>1733</v>
      </c>
      <c r="C523" s="184">
        <v>0</v>
      </c>
      <c r="D523" s="125">
        <v>0</v>
      </c>
      <c r="E523" s="229">
        <v>-7843728.71</v>
      </c>
      <c r="F523" s="224"/>
      <c r="G523" s="224"/>
      <c r="H523" s="224"/>
      <c r="I523" s="224"/>
      <c r="J523" s="224"/>
      <c r="K523" s="224"/>
      <c r="L523" s="223">
        <v>0</v>
      </c>
      <c r="M523" s="223">
        <v>0</v>
      </c>
      <c r="N523" s="221">
        <f t="shared" si="129"/>
        <v>0</v>
      </c>
      <c r="O523" s="221">
        <f t="shared" si="129"/>
        <v>0</v>
      </c>
      <c r="P523" s="238">
        <f t="shared" si="137"/>
        <v>0</v>
      </c>
    </row>
    <row r="524" spans="1:16" ht="11.25">
      <c r="A524" s="195">
        <v>512090</v>
      </c>
      <c r="B524" s="125" t="s">
        <v>1734</v>
      </c>
      <c r="C524" s="184">
        <v>0</v>
      </c>
      <c r="D524" s="125">
        <v>0</v>
      </c>
      <c r="E524" s="229">
        <v>0</v>
      </c>
      <c r="F524" s="224"/>
      <c r="G524" s="224"/>
      <c r="H524" s="224"/>
      <c r="I524" s="224"/>
      <c r="J524" s="224">
        <v>300000</v>
      </c>
      <c r="K524" s="224">
        <v>300000</v>
      </c>
      <c r="L524" s="223">
        <v>300</v>
      </c>
      <c r="M524" s="223"/>
      <c r="N524" s="221">
        <f t="shared" si="129"/>
        <v>300000</v>
      </c>
      <c r="O524" s="221">
        <f t="shared" si="129"/>
        <v>300000</v>
      </c>
      <c r="P524" s="239">
        <f t="shared" si="137"/>
        <v>300</v>
      </c>
    </row>
    <row r="525" spans="1:16" ht="11.25">
      <c r="A525" s="194">
        <v>520000</v>
      </c>
      <c r="B525" s="125" t="s">
        <v>1735</v>
      </c>
      <c r="C525" s="220">
        <f aca="true" t="shared" si="138" ref="C525:M525">C526+C528</f>
        <v>0</v>
      </c>
      <c r="D525" s="220">
        <f t="shared" si="138"/>
        <v>0</v>
      </c>
      <c r="E525" s="220">
        <f t="shared" si="138"/>
        <v>0</v>
      </c>
      <c r="F525" s="220">
        <f t="shared" si="138"/>
        <v>0</v>
      </c>
      <c r="G525" s="220">
        <f t="shared" si="138"/>
        <v>0</v>
      </c>
      <c r="H525" s="220">
        <f t="shared" si="138"/>
        <v>0</v>
      </c>
      <c r="I525" s="220">
        <f t="shared" si="138"/>
        <v>0</v>
      </c>
      <c r="J525" s="220">
        <f t="shared" si="138"/>
        <v>30349220</v>
      </c>
      <c r="K525" s="220">
        <f t="shared" si="138"/>
        <v>30349220</v>
      </c>
      <c r="L525" s="220">
        <f t="shared" si="138"/>
        <v>30349</v>
      </c>
      <c r="M525" s="220">
        <f t="shared" si="138"/>
        <v>30349</v>
      </c>
      <c r="N525" s="232"/>
      <c r="O525" s="232"/>
      <c r="P525" s="238">
        <f>P526+P528</f>
        <v>0</v>
      </c>
    </row>
    <row r="526" spans="1:16" ht="11.25">
      <c r="A526" s="194">
        <v>520200</v>
      </c>
      <c r="B526" s="125" t="s">
        <v>1659</v>
      </c>
      <c r="C526" s="225">
        <f aca="true" t="shared" si="139" ref="C526:M526">C527</f>
        <v>0</v>
      </c>
      <c r="D526" s="225">
        <f t="shared" si="139"/>
        <v>0</v>
      </c>
      <c r="E526" s="225">
        <f t="shared" si="139"/>
        <v>0</v>
      </c>
      <c r="F526" s="225">
        <f t="shared" si="139"/>
        <v>0</v>
      </c>
      <c r="G526" s="225">
        <f t="shared" si="139"/>
        <v>0</v>
      </c>
      <c r="H526" s="225">
        <f t="shared" si="139"/>
        <v>0</v>
      </c>
      <c r="I526" s="225">
        <f t="shared" si="139"/>
        <v>0</v>
      </c>
      <c r="J526" s="225">
        <f t="shared" si="139"/>
        <v>29760000</v>
      </c>
      <c r="K526" s="225">
        <f t="shared" si="139"/>
        <v>29760000</v>
      </c>
      <c r="L526" s="225">
        <f t="shared" si="139"/>
        <v>29760</v>
      </c>
      <c r="M526" s="225">
        <f t="shared" si="139"/>
        <v>29760</v>
      </c>
      <c r="N526" s="221"/>
      <c r="O526" s="221"/>
      <c r="P526" s="239">
        <f>P527</f>
        <v>0</v>
      </c>
    </row>
    <row r="527" spans="1:16" ht="11.25">
      <c r="A527" s="195">
        <v>520205</v>
      </c>
      <c r="B527" s="125" t="s">
        <v>1664</v>
      </c>
      <c r="C527" s="184"/>
      <c r="D527" s="125"/>
      <c r="E527" s="229"/>
      <c r="F527" s="224"/>
      <c r="G527" s="224"/>
      <c r="H527" s="224"/>
      <c r="I527" s="224"/>
      <c r="J527" s="224">
        <v>29760000</v>
      </c>
      <c r="K527" s="224">
        <v>29760000</v>
      </c>
      <c r="L527" s="223">
        <v>29760</v>
      </c>
      <c r="M527" s="223">
        <v>29760</v>
      </c>
      <c r="N527" s="221">
        <f>+F527+H527+J527</f>
        <v>29760000</v>
      </c>
      <c r="O527" s="221">
        <f>+G527+I527+K527</f>
        <v>29760000</v>
      </c>
      <c r="P527" s="238">
        <f>+C527+L527-M527</f>
        <v>0</v>
      </c>
    </row>
    <row r="528" spans="1:16" ht="11.25">
      <c r="A528" s="194">
        <v>521100</v>
      </c>
      <c r="B528" s="125" t="s">
        <v>1701</v>
      </c>
      <c r="C528" s="220">
        <f aca="true" t="shared" si="140" ref="C528:M528">C529</f>
        <v>0</v>
      </c>
      <c r="D528" s="220">
        <f t="shared" si="140"/>
        <v>0</v>
      </c>
      <c r="E528" s="220">
        <f t="shared" si="140"/>
        <v>0</v>
      </c>
      <c r="F528" s="220">
        <f t="shared" si="140"/>
        <v>0</v>
      </c>
      <c r="G528" s="220">
        <f t="shared" si="140"/>
        <v>0</v>
      </c>
      <c r="H528" s="220">
        <f t="shared" si="140"/>
        <v>0</v>
      </c>
      <c r="I528" s="220">
        <f t="shared" si="140"/>
        <v>0</v>
      </c>
      <c r="J528" s="220">
        <f t="shared" si="140"/>
        <v>589220</v>
      </c>
      <c r="K528" s="220">
        <f t="shared" si="140"/>
        <v>589220</v>
      </c>
      <c r="L528" s="220">
        <f t="shared" si="140"/>
        <v>589</v>
      </c>
      <c r="M528" s="220">
        <f t="shared" si="140"/>
        <v>589</v>
      </c>
      <c r="N528" s="221"/>
      <c r="O528" s="221"/>
      <c r="P528" s="238">
        <f>P529</f>
        <v>0</v>
      </c>
    </row>
    <row r="529" spans="1:16" ht="11.25">
      <c r="A529" s="195">
        <v>521115</v>
      </c>
      <c r="B529" s="125" t="s">
        <v>1736</v>
      </c>
      <c r="C529" s="184"/>
      <c r="D529" s="125"/>
      <c r="E529" s="229"/>
      <c r="F529" s="224"/>
      <c r="G529" s="224"/>
      <c r="H529" s="224"/>
      <c r="I529" s="224"/>
      <c r="J529" s="224">
        <v>589220</v>
      </c>
      <c r="K529" s="224">
        <v>589220</v>
      </c>
      <c r="L529" s="223">
        <v>589</v>
      </c>
      <c r="M529" s="223">
        <v>589</v>
      </c>
      <c r="N529" s="221">
        <f aca="true" t="shared" si="141" ref="N529:O560">+F529+H529+J529</f>
        <v>589220</v>
      </c>
      <c r="O529" s="221">
        <f t="shared" si="141"/>
        <v>589220</v>
      </c>
      <c r="P529" s="238">
        <f>+C529+L529-M529</f>
        <v>0</v>
      </c>
    </row>
    <row r="530" spans="1:16" ht="22.5">
      <c r="A530" s="194">
        <v>530000</v>
      </c>
      <c r="B530" s="124" t="s">
        <v>1737</v>
      </c>
      <c r="C530" s="220">
        <f aca="true" t="shared" si="142" ref="C530:M530">C531+C535+C537+C539+C541+C549+C551</f>
        <v>3821326</v>
      </c>
      <c r="D530" s="220">
        <f t="shared" si="142"/>
        <v>0</v>
      </c>
      <c r="E530" s="220">
        <f t="shared" si="142"/>
        <v>2295012654.07</v>
      </c>
      <c r="F530" s="220">
        <f t="shared" si="142"/>
        <v>283428306.48</v>
      </c>
      <c r="G530" s="220">
        <f t="shared" si="142"/>
        <v>0</v>
      </c>
      <c r="H530" s="220">
        <f t="shared" si="142"/>
        <v>183135947.63</v>
      </c>
      <c r="I530" s="220">
        <f t="shared" si="142"/>
        <v>0</v>
      </c>
      <c r="J530" s="220">
        <f t="shared" si="142"/>
        <v>275274238.64</v>
      </c>
      <c r="K530" s="220">
        <f t="shared" si="142"/>
        <v>4563166922.22</v>
      </c>
      <c r="L530" s="220">
        <f t="shared" si="142"/>
        <v>741839</v>
      </c>
      <c r="M530" s="220">
        <f t="shared" si="142"/>
        <v>220438</v>
      </c>
      <c r="N530" s="221">
        <f t="shared" si="141"/>
        <v>741838492.75</v>
      </c>
      <c r="O530" s="221">
        <f t="shared" si="141"/>
        <v>4563166922.22</v>
      </c>
      <c r="P530" s="238">
        <f>P531+P535+P537+P539+P541+P549+P551</f>
        <v>4342727</v>
      </c>
    </row>
    <row r="531" spans="1:16" ht="11.25">
      <c r="A531" s="194">
        <v>530400</v>
      </c>
      <c r="B531" s="124" t="s">
        <v>1738</v>
      </c>
      <c r="C531" s="220">
        <f aca="true" t="shared" si="143" ref="C531:M531">SUM(C532:C534)</f>
        <v>0</v>
      </c>
      <c r="D531" s="220">
        <f t="shared" si="143"/>
        <v>0</v>
      </c>
      <c r="E531" s="220">
        <f t="shared" si="143"/>
        <v>0</v>
      </c>
      <c r="F531" s="220">
        <f t="shared" si="143"/>
        <v>0</v>
      </c>
      <c r="G531" s="220">
        <f t="shared" si="143"/>
        <v>0</v>
      </c>
      <c r="H531" s="220">
        <f t="shared" si="143"/>
        <v>0</v>
      </c>
      <c r="I531" s="220">
        <f t="shared" si="143"/>
        <v>0</v>
      </c>
      <c r="J531" s="220">
        <f t="shared" si="143"/>
        <v>0</v>
      </c>
      <c r="K531" s="220">
        <f t="shared" si="143"/>
        <v>0</v>
      </c>
      <c r="L531" s="220">
        <f t="shared" si="143"/>
        <v>0</v>
      </c>
      <c r="M531" s="220">
        <f t="shared" si="143"/>
        <v>0</v>
      </c>
      <c r="N531" s="221">
        <f t="shared" si="141"/>
        <v>0</v>
      </c>
      <c r="O531" s="221">
        <f t="shared" si="141"/>
        <v>0</v>
      </c>
      <c r="P531" s="238">
        <f>SUM(P532:P534)</f>
        <v>0</v>
      </c>
    </row>
    <row r="532" spans="1:16" ht="11.25">
      <c r="A532" s="195">
        <v>530403</v>
      </c>
      <c r="B532" s="125" t="s">
        <v>3506</v>
      </c>
      <c r="C532" s="184">
        <v>0</v>
      </c>
      <c r="D532" s="125">
        <v>0</v>
      </c>
      <c r="E532" s="229">
        <v>0</v>
      </c>
      <c r="F532" s="224"/>
      <c r="G532" s="224"/>
      <c r="H532" s="224"/>
      <c r="I532" s="224"/>
      <c r="J532" s="224"/>
      <c r="K532" s="224"/>
      <c r="L532" s="223">
        <v>0</v>
      </c>
      <c r="M532" s="223">
        <v>0</v>
      </c>
      <c r="N532" s="221">
        <f t="shared" si="141"/>
        <v>0</v>
      </c>
      <c r="O532" s="221">
        <f t="shared" si="141"/>
        <v>0</v>
      </c>
      <c r="P532" s="238">
        <f>+C532+L532-M532</f>
        <v>0</v>
      </c>
    </row>
    <row r="533" spans="1:16" ht="11.25">
      <c r="A533" s="195">
        <v>530410</v>
      </c>
      <c r="B533" s="125" t="s">
        <v>3505</v>
      </c>
      <c r="C533" s="184">
        <v>0</v>
      </c>
      <c r="D533" s="125">
        <v>0</v>
      </c>
      <c r="E533" s="229">
        <v>0</v>
      </c>
      <c r="F533" s="224"/>
      <c r="G533" s="224"/>
      <c r="H533" s="224"/>
      <c r="I533" s="224"/>
      <c r="J533" s="224"/>
      <c r="K533" s="224"/>
      <c r="L533" s="223">
        <v>0</v>
      </c>
      <c r="M533" s="223">
        <v>0</v>
      </c>
      <c r="N533" s="221">
        <f t="shared" si="141"/>
        <v>0</v>
      </c>
      <c r="O533" s="221">
        <f t="shared" si="141"/>
        <v>0</v>
      </c>
      <c r="P533" s="238">
        <f>+C533+L533-M533</f>
        <v>0</v>
      </c>
    </row>
    <row r="534" spans="1:16" ht="11.25">
      <c r="A534" s="195">
        <v>530490</v>
      </c>
      <c r="B534" s="125" t="s">
        <v>3508</v>
      </c>
      <c r="C534" s="184">
        <v>0</v>
      </c>
      <c r="D534" s="125">
        <v>0</v>
      </c>
      <c r="E534" s="229">
        <v>0</v>
      </c>
      <c r="F534" s="224"/>
      <c r="G534" s="224"/>
      <c r="H534" s="224"/>
      <c r="I534" s="224"/>
      <c r="J534" s="224"/>
      <c r="K534" s="224"/>
      <c r="L534" s="223">
        <v>0</v>
      </c>
      <c r="M534" s="223">
        <v>0</v>
      </c>
      <c r="N534" s="221">
        <f t="shared" si="141"/>
        <v>0</v>
      </c>
      <c r="O534" s="221">
        <f t="shared" si="141"/>
        <v>0</v>
      </c>
      <c r="P534" s="238">
        <f>+C534+L534-M534</f>
        <v>0</v>
      </c>
    </row>
    <row r="535" spans="1:16" ht="11.25">
      <c r="A535" s="194">
        <v>530900</v>
      </c>
      <c r="B535" s="124" t="s">
        <v>1739</v>
      </c>
      <c r="C535" s="220">
        <f aca="true" t="shared" si="144" ref="C535:M535">C536</f>
        <v>0</v>
      </c>
      <c r="D535" s="220">
        <f t="shared" si="144"/>
        <v>0</v>
      </c>
      <c r="E535" s="220">
        <f t="shared" si="144"/>
        <v>0</v>
      </c>
      <c r="F535" s="220">
        <f t="shared" si="144"/>
        <v>0</v>
      </c>
      <c r="G535" s="220">
        <f t="shared" si="144"/>
        <v>0</v>
      </c>
      <c r="H535" s="220">
        <f t="shared" si="144"/>
        <v>0</v>
      </c>
      <c r="I535" s="220">
        <f t="shared" si="144"/>
        <v>0</v>
      </c>
      <c r="J535" s="220">
        <f t="shared" si="144"/>
        <v>0</v>
      </c>
      <c r="K535" s="220">
        <f t="shared" si="144"/>
        <v>0</v>
      </c>
      <c r="L535" s="220">
        <f t="shared" si="144"/>
        <v>0</v>
      </c>
      <c r="M535" s="220">
        <f t="shared" si="144"/>
        <v>0</v>
      </c>
      <c r="N535" s="221">
        <f t="shared" si="141"/>
        <v>0</v>
      </c>
      <c r="O535" s="221">
        <f t="shared" si="141"/>
        <v>0</v>
      </c>
      <c r="P535" s="238">
        <f>P536</f>
        <v>0</v>
      </c>
    </row>
    <row r="536" spans="1:16" ht="11.25">
      <c r="A536" s="195">
        <v>530902</v>
      </c>
      <c r="B536" s="125" t="s">
        <v>871</v>
      </c>
      <c r="C536" s="184">
        <v>0</v>
      </c>
      <c r="D536" s="125">
        <v>0</v>
      </c>
      <c r="E536" s="229">
        <v>0</v>
      </c>
      <c r="F536" s="224"/>
      <c r="G536" s="224"/>
      <c r="H536" s="224"/>
      <c r="I536" s="224"/>
      <c r="J536" s="224"/>
      <c r="K536" s="224"/>
      <c r="L536" s="223">
        <v>0</v>
      </c>
      <c r="M536" s="223">
        <v>0</v>
      </c>
      <c r="N536" s="221">
        <f t="shared" si="141"/>
        <v>0</v>
      </c>
      <c r="O536" s="221">
        <f t="shared" si="141"/>
        <v>0</v>
      </c>
      <c r="P536" s="238">
        <f>+C536+L536-M536</f>
        <v>0</v>
      </c>
    </row>
    <row r="537" spans="1:16" ht="22.5">
      <c r="A537" s="194">
        <v>531200</v>
      </c>
      <c r="B537" s="124" t="s">
        <v>899</v>
      </c>
      <c r="C537" s="220">
        <f aca="true" t="shared" si="145" ref="C537:M537">C538</f>
        <v>0</v>
      </c>
      <c r="D537" s="220">
        <f t="shared" si="145"/>
        <v>0</v>
      </c>
      <c r="E537" s="220">
        <f t="shared" si="145"/>
        <v>0</v>
      </c>
      <c r="F537" s="220">
        <f t="shared" si="145"/>
        <v>0</v>
      </c>
      <c r="G537" s="220">
        <f t="shared" si="145"/>
        <v>0</v>
      </c>
      <c r="H537" s="220">
        <f t="shared" si="145"/>
        <v>0</v>
      </c>
      <c r="I537" s="220">
        <f t="shared" si="145"/>
        <v>0</v>
      </c>
      <c r="J537" s="220">
        <f t="shared" si="145"/>
        <v>0</v>
      </c>
      <c r="K537" s="220">
        <f t="shared" si="145"/>
        <v>0</v>
      </c>
      <c r="L537" s="220">
        <f t="shared" si="145"/>
        <v>0</v>
      </c>
      <c r="M537" s="220">
        <f t="shared" si="145"/>
        <v>0</v>
      </c>
      <c r="N537" s="221">
        <f t="shared" si="141"/>
        <v>0</v>
      </c>
      <c r="O537" s="221">
        <f t="shared" si="141"/>
        <v>0</v>
      </c>
      <c r="P537" s="238">
        <f>P538</f>
        <v>0</v>
      </c>
    </row>
    <row r="538" spans="1:16" ht="11.25">
      <c r="A538" s="195">
        <v>531201</v>
      </c>
      <c r="B538" s="125" t="s">
        <v>895</v>
      </c>
      <c r="C538" s="184">
        <v>0</v>
      </c>
      <c r="D538" s="125">
        <v>0</v>
      </c>
      <c r="E538" s="229">
        <v>0</v>
      </c>
      <c r="F538" s="224"/>
      <c r="G538" s="224"/>
      <c r="H538" s="224"/>
      <c r="I538" s="224"/>
      <c r="J538" s="224"/>
      <c r="K538" s="224"/>
      <c r="L538" s="223">
        <v>0</v>
      </c>
      <c r="M538" s="223">
        <v>0</v>
      </c>
      <c r="N538" s="221">
        <f t="shared" si="141"/>
        <v>0</v>
      </c>
      <c r="O538" s="221">
        <f t="shared" si="141"/>
        <v>0</v>
      </c>
      <c r="P538" s="238">
        <f>+C538+L538-M538</f>
        <v>0</v>
      </c>
    </row>
    <row r="539" spans="1:16" ht="11.25">
      <c r="A539" s="194">
        <v>531400</v>
      </c>
      <c r="B539" s="124" t="s">
        <v>977</v>
      </c>
      <c r="C539" s="220">
        <f aca="true" t="shared" si="146" ref="C539:M539">C540</f>
        <v>2203155</v>
      </c>
      <c r="D539" s="220">
        <f t="shared" si="146"/>
        <v>0</v>
      </c>
      <c r="E539" s="220">
        <f t="shared" si="146"/>
        <v>1628898172.79</v>
      </c>
      <c r="F539" s="220">
        <f t="shared" si="146"/>
        <v>102707351.85</v>
      </c>
      <c r="G539" s="220">
        <f t="shared" si="146"/>
        <v>0</v>
      </c>
      <c r="H539" s="220">
        <f t="shared" si="146"/>
        <v>0</v>
      </c>
      <c r="I539" s="220">
        <f t="shared" si="146"/>
        <v>0</v>
      </c>
      <c r="J539" s="220">
        <f t="shared" si="146"/>
        <v>187270711.01</v>
      </c>
      <c r="K539" s="220">
        <f t="shared" si="146"/>
        <v>2493134349.87</v>
      </c>
      <c r="L539" s="220">
        <f t="shared" si="146"/>
        <v>289978</v>
      </c>
      <c r="M539" s="220">
        <f t="shared" si="146"/>
        <v>0</v>
      </c>
      <c r="N539" s="221">
        <f t="shared" si="141"/>
        <v>289978062.86</v>
      </c>
      <c r="O539" s="221">
        <f t="shared" si="141"/>
        <v>2493134349.87</v>
      </c>
      <c r="P539" s="238">
        <f>P540</f>
        <v>2493133</v>
      </c>
    </row>
    <row r="540" spans="1:16" ht="11.25">
      <c r="A540" s="195">
        <v>531401</v>
      </c>
      <c r="B540" s="125" t="s">
        <v>1740</v>
      </c>
      <c r="C540" s="184">
        <v>2203155</v>
      </c>
      <c r="D540" s="125">
        <v>0</v>
      </c>
      <c r="E540" s="229">
        <v>1628898172.79</v>
      </c>
      <c r="F540" s="224">
        <v>102707351.85</v>
      </c>
      <c r="G540" s="224">
        <v>0</v>
      </c>
      <c r="H540" s="224">
        <v>0</v>
      </c>
      <c r="I540" s="224">
        <v>0</v>
      </c>
      <c r="J540" s="224">
        <v>187270711.01</v>
      </c>
      <c r="K540" s="224">
        <v>2493134349.87</v>
      </c>
      <c r="L540" s="223">
        <v>289978</v>
      </c>
      <c r="M540" s="223"/>
      <c r="N540" s="221">
        <f t="shared" si="141"/>
        <v>289978062.86</v>
      </c>
      <c r="O540" s="221">
        <f t="shared" si="141"/>
        <v>2493134349.87</v>
      </c>
      <c r="P540" s="239">
        <f>+C540+L540-M540</f>
        <v>2493133</v>
      </c>
    </row>
    <row r="541" spans="1:16" ht="22.5">
      <c r="A541" s="194">
        <v>533000</v>
      </c>
      <c r="B541" s="124" t="s">
        <v>1741</v>
      </c>
      <c r="C541" s="220">
        <f aca="true" t="shared" si="147" ref="C541:M541">SUM(C542:C548)</f>
        <v>1298467</v>
      </c>
      <c r="D541" s="220">
        <f t="shared" si="147"/>
        <v>0</v>
      </c>
      <c r="E541" s="220">
        <f t="shared" si="147"/>
        <v>556022124</v>
      </c>
      <c r="F541" s="220">
        <f t="shared" si="147"/>
        <v>151328735</v>
      </c>
      <c r="G541" s="220">
        <f t="shared" si="147"/>
        <v>0</v>
      </c>
      <c r="H541" s="220">
        <f t="shared" si="147"/>
        <v>153743728</v>
      </c>
      <c r="I541" s="220">
        <f t="shared" si="147"/>
        <v>0</v>
      </c>
      <c r="J541" s="220">
        <f t="shared" si="147"/>
        <v>58611308</v>
      </c>
      <c r="K541" s="220">
        <f t="shared" si="147"/>
        <v>1662151164</v>
      </c>
      <c r="L541" s="220">
        <f t="shared" si="147"/>
        <v>363684</v>
      </c>
      <c r="M541" s="220">
        <f t="shared" si="147"/>
        <v>200429</v>
      </c>
      <c r="N541" s="221">
        <f t="shared" si="141"/>
        <v>363683771</v>
      </c>
      <c r="O541" s="221">
        <f t="shared" si="141"/>
        <v>1662151164</v>
      </c>
      <c r="P541" s="238">
        <f>SUM(P542:P548)</f>
        <v>1461722</v>
      </c>
    </row>
    <row r="542" spans="1:16" ht="11.25">
      <c r="A542" s="195">
        <v>533001</v>
      </c>
      <c r="B542" s="125" t="s">
        <v>840</v>
      </c>
      <c r="C542" s="184">
        <v>747838</v>
      </c>
      <c r="D542" s="125">
        <v>0</v>
      </c>
      <c r="E542" s="229">
        <v>324643506</v>
      </c>
      <c r="F542" s="224">
        <v>108073296</v>
      </c>
      <c r="G542" s="224">
        <v>0</v>
      </c>
      <c r="H542" s="224">
        <v>108073296</v>
      </c>
      <c r="I542" s="224">
        <v>0</v>
      </c>
      <c r="J542" s="224">
        <v>0</v>
      </c>
      <c r="K542" s="224">
        <v>963984816</v>
      </c>
      <c r="L542" s="223">
        <v>216147</v>
      </c>
      <c r="M542" s="223">
        <v>200293</v>
      </c>
      <c r="N542" s="221">
        <f t="shared" si="141"/>
        <v>216146592</v>
      </c>
      <c r="O542" s="221">
        <f t="shared" si="141"/>
        <v>963984816</v>
      </c>
      <c r="P542" s="239">
        <f aca="true" t="shared" si="148" ref="P542:P548">+C542+L542-M542</f>
        <v>763692</v>
      </c>
    </row>
    <row r="543" spans="1:16" ht="11.25">
      <c r="A543" s="195">
        <v>533004</v>
      </c>
      <c r="B543" s="125" t="s">
        <v>3524</v>
      </c>
      <c r="C543" s="184">
        <v>840</v>
      </c>
      <c r="D543" s="125">
        <v>0</v>
      </c>
      <c r="E543" s="229">
        <v>-21954961</v>
      </c>
      <c r="F543" s="224">
        <v>93208</v>
      </c>
      <c r="G543" s="224">
        <v>0</v>
      </c>
      <c r="H543" s="224">
        <v>93208</v>
      </c>
      <c r="I543" s="224">
        <v>0</v>
      </c>
      <c r="J543" s="224">
        <v>227152</v>
      </c>
      <c r="K543" s="224">
        <v>1252440</v>
      </c>
      <c r="L543" s="223">
        <v>414</v>
      </c>
      <c r="M543" s="223">
        <v>136</v>
      </c>
      <c r="N543" s="221">
        <f t="shared" si="141"/>
        <v>413568</v>
      </c>
      <c r="O543" s="221">
        <f t="shared" si="141"/>
        <v>1252440</v>
      </c>
      <c r="P543" s="239">
        <f t="shared" si="148"/>
        <v>1118</v>
      </c>
    </row>
    <row r="544" spans="1:16" ht="11.25">
      <c r="A544" s="195">
        <v>533005</v>
      </c>
      <c r="B544" s="125" t="s">
        <v>1742</v>
      </c>
      <c r="C544" s="184">
        <v>0</v>
      </c>
      <c r="D544" s="125">
        <v>0</v>
      </c>
      <c r="E544" s="229">
        <v>-15379635</v>
      </c>
      <c r="F544" s="224"/>
      <c r="G544" s="224"/>
      <c r="H544" s="224"/>
      <c r="I544" s="224"/>
      <c r="J544" s="224"/>
      <c r="K544" s="224"/>
      <c r="L544" s="223">
        <v>0</v>
      </c>
      <c r="M544" s="223">
        <v>0</v>
      </c>
      <c r="N544" s="221">
        <f t="shared" si="141"/>
        <v>0</v>
      </c>
      <c r="O544" s="221">
        <f t="shared" si="141"/>
        <v>0</v>
      </c>
      <c r="P544" s="238">
        <f t="shared" si="148"/>
        <v>0</v>
      </c>
    </row>
    <row r="545" spans="1:16" ht="11.25">
      <c r="A545" s="195">
        <v>533006</v>
      </c>
      <c r="B545" s="125" t="s">
        <v>1743</v>
      </c>
      <c r="C545" s="184">
        <v>17192</v>
      </c>
      <c r="D545" s="125">
        <v>0</v>
      </c>
      <c r="E545" s="229">
        <v>1806113</v>
      </c>
      <c r="F545" s="224">
        <v>375508</v>
      </c>
      <c r="G545" s="224">
        <v>0</v>
      </c>
      <c r="H545" s="224">
        <v>377284</v>
      </c>
      <c r="I545" s="224">
        <v>0</v>
      </c>
      <c r="J545" s="224">
        <v>375508</v>
      </c>
      <c r="K545" s="224">
        <v>18320639</v>
      </c>
      <c r="L545" s="223">
        <v>1128</v>
      </c>
      <c r="M545" s="223"/>
      <c r="N545" s="221">
        <f t="shared" si="141"/>
        <v>1128300</v>
      </c>
      <c r="O545" s="221">
        <f t="shared" si="141"/>
        <v>18320639</v>
      </c>
      <c r="P545" s="239">
        <f t="shared" si="148"/>
        <v>18320</v>
      </c>
    </row>
    <row r="546" spans="1:16" ht="11.25">
      <c r="A546" s="195">
        <v>533007</v>
      </c>
      <c r="B546" s="125" t="s">
        <v>905</v>
      </c>
      <c r="C546" s="184">
        <v>484084</v>
      </c>
      <c r="D546" s="125">
        <v>0</v>
      </c>
      <c r="E546" s="229">
        <v>251180410</v>
      </c>
      <c r="F546" s="224">
        <v>37396343</v>
      </c>
      <c r="G546" s="224">
        <v>0</v>
      </c>
      <c r="H546" s="224">
        <v>39809560</v>
      </c>
      <c r="I546" s="224">
        <v>0</v>
      </c>
      <c r="J546" s="224">
        <v>46372585</v>
      </c>
      <c r="K546" s="224">
        <v>607663026</v>
      </c>
      <c r="L546" s="223">
        <v>123578</v>
      </c>
      <c r="M546" s="223"/>
      <c r="N546" s="221">
        <f t="shared" si="141"/>
        <v>123578488</v>
      </c>
      <c r="O546" s="221">
        <f t="shared" si="141"/>
        <v>607663026</v>
      </c>
      <c r="P546" s="239">
        <f t="shared" si="148"/>
        <v>607662</v>
      </c>
    </row>
    <row r="547" spans="1:16" ht="11.25">
      <c r="A547" s="195">
        <v>533008</v>
      </c>
      <c r="B547" s="125" t="s">
        <v>1002</v>
      </c>
      <c r="C547" s="184">
        <v>48513</v>
      </c>
      <c r="D547" s="125">
        <v>0</v>
      </c>
      <c r="E547" s="229">
        <v>16203482</v>
      </c>
      <c r="F547" s="224">
        <v>5390380</v>
      </c>
      <c r="G547" s="224">
        <v>0</v>
      </c>
      <c r="H547" s="224">
        <v>5390380</v>
      </c>
      <c r="I547" s="224">
        <v>0</v>
      </c>
      <c r="J547" s="224">
        <v>11386063</v>
      </c>
      <c r="K547" s="224">
        <v>70680243</v>
      </c>
      <c r="L547" s="223">
        <v>22167</v>
      </c>
      <c r="M547" s="223"/>
      <c r="N547" s="221">
        <f t="shared" si="141"/>
        <v>22166823</v>
      </c>
      <c r="O547" s="221">
        <f t="shared" si="141"/>
        <v>70680243</v>
      </c>
      <c r="P547" s="239">
        <f t="shared" si="148"/>
        <v>70680</v>
      </c>
    </row>
    <row r="548" spans="1:16" ht="11.25">
      <c r="A548" s="195">
        <v>533009</v>
      </c>
      <c r="B548" s="125" t="s">
        <v>1744</v>
      </c>
      <c r="C548" s="184">
        <v>0</v>
      </c>
      <c r="D548" s="125">
        <v>0</v>
      </c>
      <c r="E548" s="229">
        <v>-476791</v>
      </c>
      <c r="F548" s="224"/>
      <c r="G548" s="224"/>
      <c r="H548" s="224"/>
      <c r="I548" s="224"/>
      <c r="J548" s="224">
        <v>250000</v>
      </c>
      <c r="K548" s="224">
        <v>250000</v>
      </c>
      <c r="L548" s="223">
        <v>250</v>
      </c>
      <c r="M548" s="223"/>
      <c r="N548" s="221">
        <f t="shared" si="141"/>
        <v>250000</v>
      </c>
      <c r="O548" s="221">
        <f t="shared" si="141"/>
        <v>250000</v>
      </c>
      <c r="P548" s="239">
        <f t="shared" si="148"/>
        <v>250</v>
      </c>
    </row>
    <row r="549" spans="1:16" ht="22.5">
      <c r="A549" s="194">
        <v>534400</v>
      </c>
      <c r="B549" s="124" t="s">
        <v>1745</v>
      </c>
      <c r="C549" s="220">
        <f aca="true" t="shared" si="149" ref="C549:M549">C550</f>
        <v>0</v>
      </c>
      <c r="D549" s="220">
        <f t="shared" si="149"/>
        <v>0</v>
      </c>
      <c r="E549" s="220">
        <f t="shared" si="149"/>
        <v>0</v>
      </c>
      <c r="F549" s="220">
        <f t="shared" si="149"/>
        <v>0</v>
      </c>
      <c r="G549" s="220">
        <f t="shared" si="149"/>
        <v>0</v>
      </c>
      <c r="H549" s="220">
        <f t="shared" si="149"/>
        <v>0</v>
      </c>
      <c r="I549" s="220">
        <f t="shared" si="149"/>
        <v>0</v>
      </c>
      <c r="J549" s="220">
        <f t="shared" si="149"/>
        <v>0</v>
      </c>
      <c r="K549" s="220">
        <f t="shared" si="149"/>
        <v>0</v>
      </c>
      <c r="L549" s="220">
        <f t="shared" si="149"/>
        <v>0</v>
      </c>
      <c r="M549" s="220">
        <f t="shared" si="149"/>
        <v>0</v>
      </c>
      <c r="N549" s="221">
        <f t="shared" si="141"/>
        <v>0</v>
      </c>
      <c r="O549" s="221">
        <f t="shared" si="141"/>
        <v>0</v>
      </c>
      <c r="P549" s="238">
        <f>P550</f>
        <v>0</v>
      </c>
    </row>
    <row r="550" spans="1:16" ht="11.25">
      <c r="A550" s="195">
        <v>534405</v>
      </c>
      <c r="B550" s="125" t="s">
        <v>866</v>
      </c>
      <c r="C550" s="184">
        <v>0</v>
      </c>
      <c r="D550" s="125">
        <v>0</v>
      </c>
      <c r="E550" s="229">
        <v>0</v>
      </c>
      <c r="F550" s="224"/>
      <c r="G550" s="224"/>
      <c r="H550" s="224"/>
      <c r="I550" s="224"/>
      <c r="J550" s="224"/>
      <c r="K550" s="224"/>
      <c r="L550" s="223">
        <v>0</v>
      </c>
      <c r="M550" s="223">
        <v>0</v>
      </c>
      <c r="N550" s="221">
        <f t="shared" si="141"/>
        <v>0</v>
      </c>
      <c r="O550" s="221">
        <f t="shared" si="141"/>
        <v>0</v>
      </c>
      <c r="P550" s="238">
        <f>+C550+L550-M550</f>
        <v>0</v>
      </c>
    </row>
    <row r="551" spans="1:16" ht="11.25">
      <c r="A551" s="194">
        <v>534500</v>
      </c>
      <c r="B551" s="124" t="s">
        <v>1746</v>
      </c>
      <c r="C551" s="220">
        <f aca="true" t="shared" si="150" ref="C551:M551">SUM(C552:C553)</f>
        <v>319704</v>
      </c>
      <c r="D551" s="220">
        <f t="shared" si="150"/>
        <v>0</v>
      </c>
      <c r="E551" s="220">
        <f t="shared" si="150"/>
        <v>110092357.28</v>
      </c>
      <c r="F551" s="220">
        <f t="shared" si="150"/>
        <v>29392219.63</v>
      </c>
      <c r="G551" s="220">
        <f t="shared" si="150"/>
        <v>0</v>
      </c>
      <c r="H551" s="220">
        <f t="shared" si="150"/>
        <v>29392219.63</v>
      </c>
      <c r="I551" s="220">
        <f t="shared" si="150"/>
        <v>0</v>
      </c>
      <c r="J551" s="220">
        <f t="shared" si="150"/>
        <v>29392219.63</v>
      </c>
      <c r="K551" s="220">
        <f t="shared" si="150"/>
        <v>407881408.35</v>
      </c>
      <c r="L551" s="220">
        <f t="shared" si="150"/>
        <v>88177</v>
      </c>
      <c r="M551" s="220">
        <f t="shared" si="150"/>
        <v>20009</v>
      </c>
      <c r="N551" s="221">
        <f t="shared" si="141"/>
        <v>88176658.89</v>
      </c>
      <c r="O551" s="221">
        <f t="shared" si="141"/>
        <v>407881408.35</v>
      </c>
      <c r="P551" s="238">
        <f>SUM(P552:P553)</f>
        <v>387872</v>
      </c>
    </row>
    <row r="552" spans="1:16" ht="11.25">
      <c r="A552" s="195">
        <v>534507</v>
      </c>
      <c r="B552" s="125" t="s">
        <v>881</v>
      </c>
      <c r="C552" s="184">
        <v>0</v>
      </c>
      <c r="D552" s="125">
        <v>0</v>
      </c>
      <c r="E552" s="229">
        <v>0</v>
      </c>
      <c r="F552" s="224"/>
      <c r="G552" s="224"/>
      <c r="H552" s="224"/>
      <c r="I552" s="224"/>
      <c r="J552" s="224"/>
      <c r="K552" s="224"/>
      <c r="L552" s="223">
        <v>0</v>
      </c>
      <c r="M552" s="223">
        <v>0</v>
      </c>
      <c r="N552" s="221">
        <f t="shared" si="141"/>
        <v>0</v>
      </c>
      <c r="O552" s="221">
        <f t="shared" si="141"/>
        <v>0</v>
      </c>
      <c r="P552" s="238">
        <f>+C552+L552-M552</f>
        <v>0</v>
      </c>
    </row>
    <row r="553" spans="1:16" ht="11.25">
      <c r="A553" s="195">
        <v>534508</v>
      </c>
      <c r="B553" s="125" t="s">
        <v>882</v>
      </c>
      <c r="C553" s="184">
        <v>319704</v>
      </c>
      <c r="D553" s="125">
        <v>0</v>
      </c>
      <c r="E553" s="229">
        <v>110092357.28</v>
      </c>
      <c r="F553" s="224">
        <v>29392219.63</v>
      </c>
      <c r="G553" s="224">
        <v>0</v>
      </c>
      <c r="H553" s="224">
        <v>29392219.63</v>
      </c>
      <c r="I553" s="224">
        <v>0</v>
      </c>
      <c r="J553" s="224">
        <v>29392219.63</v>
      </c>
      <c r="K553" s="224">
        <v>407881408.35</v>
      </c>
      <c r="L553" s="223">
        <v>88177</v>
      </c>
      <c r="M553" s="223">
        <v>20009</v>
      </c>
      <c r="N553" s="221">
        <f t="shared" si="141"/>
        <v>88176658.89</v>
      </c>
      <c r="O553" s="221">
        <f t="shared" si="141"/>
        <v>407881408.35</v>
      </c>
      <c r="P553" s="239">
        <f>+C553+L553-M553</f>
        <v>387872</v>
      </c>
    </row>
    <row r="554" spans="1:16" ht="11.25">
      <c r="A554" s="194">
        <v>540000</v>
      </c>
      <c r="B554" s="124" t="s">
        <v>1747</v>
      </c>
      <c r="C554" s="220">
        <f aca="true" t="shared" si="151" ref="C554:M554">C555+C561+C579+C585+C588+C593+C601</f>
        <v>8263978328</v>
      </c>
      <c r="D554" s="220">
        <f t="shared" si="151"/>
        <v>0</v>
      </c>
      <c r="E554" s="220">
        <f t="shared" si="151"/>
        <v>2658324782790.83</v>
      </c>
      <c r="F554" s="220">
        <f t="shared" si="151"/>
        <v>1275291778359</v>
      </c>
      <c r="G554" s="220">
        <f t="shared" si="151"/>
        <v>233163802</v>
      </c>
      <c r="H554" s="220">
        <f t="shared" si="151"/>
        <v>1188226904052</v>
      </c>
      <c r="I554" s="220">
        <f t="shared" si="151"/>
        <v>11540153985</v>
      </c>
      <c r="J554" s="220">
        <f t="shared" si="151"/>
        <v>2215799089164.5</v>
      </c>
      <c r="K554" s="220">
        <f t="shared" si="151"/>
        <v>12931522781782.54</v>
      </c>
      <c r="L554" s="220">
        <f t="shared" si="151"/>
        <v>4679317772</v>
      </c>
      <c r="M554" s="220">
        <f t="shared" si="151"/>
        <v>884206083</v>
      </c>
      <c r="N554" s="221">
        <f t="shared" si="141"/>
        <v>4679317771575.5</v>
      </c>
      <c r="O554" s="221">
        <f t="shared" si="141"/>
        <v>12943296099569.54</v>
      </c>
      <c r="P554" s="238">
        <f>P555+P561+P579+P585+P588+P593+P601</f>
        <v>12059090017</v>
      </c>
    </row>
    <row r="555" spans="1:16" ht="11.25">
      <c r="A555" s="194">
        <v>540100</v>
      </c>
      <c r="B555" s="124" t="s">
        <v>1748</v>
      </c>
      <c r="C555" s="220">
        <f aca="true" t="shared" si="152" ref="C555:M555">SUM(C556:C560)</f>
        <v>1585668</v>
      </c>
      <c r="D555" s="220">
        <f t="shared" si="152"/>
        <v>0</v>
      </c>
      <c r="E555" s="220">
        <f t="shared" si="152"/>
        <v>-3913620538.04</v>
      </c>
      <c r="F555" s="220">
        <f t="shared" si="152"/>
        <v>0</v>
      </c>
      <c r="G555" s="220">
        <f t="shared" si="152"/>
        <v>0</v>
      </c>
      <c r="H555" s="220">
        <f t="shared" si="152"/>
        <v>0</v>
      </c>
      <c r="I555" s="220">
        <f t="shared" si="152"/>
        <v>0</v>
      </c>
      <c r="J555" s="220">
        <f t="shared" si="152"/>
        <v>3878895619.5</v>
      </c>
      <c r="K555" s="220">
        <f t="shared" si="152"/>
        <v>5464564842.67</v>
      </c>
      <c r="L555" s="220">
        <f t="shared" si="152"/>
        <v>3878896</v>
      </c>
      <c r="M555" s="220">
        <f t="shared" si="152"/>
        <v>4284666</v>
      </c>
      <c r="N555" s="221">
        <f t="shared" si="141"/>
        <v>3878895619.5</v>
      </c>
      <c r="O555" s="221">
        <f t="shared" si="141"/>
        <v>5464564842.67</v>
      </c>
      <c r="P555" s="238">
        <f>SUM(P556:P560)</f>
        <v>1179898</v>
      </c>
    </row>
    <row r="556" spans="1:16" ht="11.25">
      <c r="A556" s="195">
        <v>540102</v>
      </c>
      <c r="B556" s="125" t="s">
        <v>1749</v>
      </c>
      <c r="C556" s="184">
        <v>0</v>
      </c>
      <c r="D556" s="125">
        <v>0</v>
      </c>
      <c r="E556" s="229">
        <v>0</v>
      </c>
      <c r="F556" s="224"/>
      <c r="G556" s="224"/>
      <c r="H556" s="224"/>
      <c r="I556" s="224"/>
      <c r="J556" s="224"/>
      <c r="K556" s="224"/>
      <c r="L556" s="223">
        <v>0</v>
      </c>
      <c r="M556" s="223">
        <v>0</v>
      </c>
      <c r="N556" s="221">
        <f t="shared" si="141"/>
        <v>0</v>
      </c>
      <c r="O556" s="221">
        <f t="shared" si="141"/>
        <v>0</v>
      </c>
      <c r="P556" s="238">
        <f>+C556+L556-M556</f>
        <v>0</v>
      </c>
    </row>
    <row r="557" spans="1:16" ht="22.5">
      <c r="A557" s="195">
        <v>540103</v>
      </c>
      <c r="B557" s="125" t="s">
        <v>1750</v>
      </c>
      <c r="C557" s="184">
        <v>405771</v>
      </c>
      <c r="D557" s="125">
        <v>0</v>
      </c>
      <c r="E557" s="229">
        <v>-973415136</v>
      </c>
      <c r="F557" s="224"/>
      <c r="G557" s="224"/>
      <c r="H557" s="224">
        <v>0</v>
      </c>
      <c r="I557" s="224">
        <v>0</v>
      </c>
      <c r="J557" s="224">
        <v>395895619.5</v>
      </c>
      <c r="K557" s="224">
        <v>801666617.5</v>
      </c>
      <c r="L557" s="223">
        <v>395896</v>
      </c>
      <c r="M557" s="223">
        <v>801667</v>
      </c>
      <c r="N557" s="221">
        <f t="shared" si="141"/>
        <v>395895619.5</v>
      </c>
      <c r="O557" s="221">
        <f t="shared" si="141"/>
        <v>801666617.5</v>
      </c>
      <c r="P557" s="238">
        <f>+C557+L557-M557</f>
        <v>0</v>
      </c>
    </row>
    <row r="558" spans="1:16" ht="22.5">
      <c r="A558" s="195">
        <v>540104</v>
      </c>
      <c r="B558" s="125" t="s">
        <v>1751</v>
      </c>
      <c r="C558" s="184">
        <v>1179897</v>
      </c>
      <c r="D558" s="125">
        <v>0</v>
      </c>
      <c r="E558" s="229">
        <v>-2940205402.04</v>
      </c>
      <c r="F558" s="224"/>
      <c r="G558" s="224"/>
      <c r="H558" s="224">
        <v>0</v>
      </c>
      <c r="I558" s="224">
        <v>0</v>
      </c>
      <c r="J558" s="224">
        <v>3483000000</v>
      </c>
      <c r="K558" s="224">
        <v>4662898225.17</v>
      </c>
      <c r="L558" s="223">
        <v>3483000</v>
      </c>
      <c r="M558" s="223">
        <v>3482999</v>
      </c>
      <c r="N558" s="221">
        <f t="shared" si="141"/>
        <v>3483000000</v>
      </c>
      <c r="O558" s="221">
        <f t="shared" si="141"/>
        <v>4662898225.17</v>
      </c>
      <c r="P558" s="239">
        <f>+C558+L558-M558</f>
        <v>1179898</v>
      </c>
    </row>
    <row r="559" spans="1:16" ht="11.25">
      <c r="A559" s="195">
        <v>540105</v>
      </c>
      <c r="B559" s="125" t="s">
        <v>1752</v>
      </c>
      <c r="C559" s="184">
        <v>0</v>
      </c>
      <c r="D559" s="125">
        <v>0</v>
      </c>
      <c r="E559" s="229">
        <v>0</v>
      </c>
      <c r="F559" s="224"/>
      <c r="G559" s="224"/>
      <c r="H559" s="224"/>
      <c r="I559" s="224"/>
      <c r="J559" s="224"/>
      <c r="K559" s="224"/>
      <c r="L559" s="223">
        <v>0</v>
      </c>
      <c r="M559" s="223">
        <v>0</v>
      </c>
      <c r="N559" s="221">
        <f t="shared" si="141"/>
        <v>0</v>
      </c>
      <c r="O559" s="221">
        <f t="shared" si="141"/>
        <v>0</v>
      </c>
      <c r="P559" s="238">
        <f>+C559+L559-M559</f>
        <v>0</v>
      </c>
    </row>
    <row r="560" spans="1:16" ht="11.25">
      <c r="A560" s="195">
        <v>540190</v>
      </c>
      <c r="B560" s="125" t="s">
        <v>1753</v>
      </c>
      <c r="C560" s="184">
        <v>0</v>
      </c>
      <c r="D560" s="125">
        <v>0</v>
      </c>
      <c r="E560" s="229">
        <v>0</v>
      </c>
      <c r="F560" s="224"/>
      <c r="G560" s="224"/>
      <c r="H560" s="224"/>
      <c r="I560" s="224"/>
      <c r="J560" s="224"/>
      <c r="K560" s="224"/>
      <c r="L560" s="223">
        <v>0</v>
      </c>
      <c r="M560" s="223">
        <v>0</v>
      </c>
      <c r="N560" s="221">
        <f t="shared" si="141"/>
        <v>0</v>
      </c>
      <c r="O560" s="221">
        <f t="shared" si="141"/>
        <v>0</v>
      </c>
      <c r="P560" s="238">
        <f>+C560+L560-M560</f>
        <v>0</v>
      </c>
    </row>
    <row r="561" spans="1:16" ht="11.25">
      <c r="A561" s="194">
        <v>540300</v>
      </c>
      <c r="B561" s="124" t="s">
        <v>1754</v>
      </c>
      <c r="C561" s="220">
        <f aca="true" t="shared" si="153" ref="C561:M561">SUM(C562:C578)</f>
        <v>1765953947</v>
      </c>
      <c r="D561" s="220">
        <f t="shared" si="153"/>
        <v>0</v>
      </c>
      <c r="E561" s="220">
        <f t="shared" si="153"/>
        <v>496582898868.87</v>
      </c>
      <c r="F561" s="220">
        <f t="shared" si="153"/>
        <v>172199416768</v>
      </c>
      <c r="G561" s="220">
        <f t="shared" si="153"/>
        <v>233163802</v>
      </c>
      <c r="H561" s="220">
        <f t="shared" si="153"/>
        <v>431239242055</v>
      </c>
      <c r="I561" s="220">
        <f t="shared" si="153"/>
        <v>8051636345</v>
      </c>
      <c r="J561" s="220">
        <f t="shared" si="153"/>
        <v>563246929988</v>
      </c>
      <c r="K561" s="220">
        <f t="shared" si="153"/>
        <v>2924354734973.87</v>
      </c>
      <c r="L561" s="220">
        <f t="shared" si="153"/>
        <v>1166685589</v>
      </c>
      <c r="M561" s="220">
        <f t="shared" si="153"/>
        <v>85830659</v>
      </c>
      <c r="N561" s="221">
        <f aca="true" t="shared" si="154" ref="N561:O592">+F561+H561+J561</f>
        <v>1166685588811</v>
      </c>
      <c r="O561" s="221">
        <f t="shared" si="154"/>
        <v>2932639535120.87</v>
      </c>
      <c r="P561" s="238">
        <f>SUM(P562:P578)</f>
        <v>2846808877</v>
      </c>
    </row>
    <row r="562" spans="1:16" ht="11.25">
      <c r="A562" s="195">
        <v>540301</v>
      </c>
      <c r="B562" s="125" t="s">
        <v>1755</v>
      </c>
      <c r="C562" s="184">
        <v>677959995</v>
      </c>
      <c r="D562" s="125">
        <v>0</v>
      </c>
      <c r="E562" s="229">
        <v>160060375174.87003</v>
      </c>
      <c r="F562" s="224">
        <v>85743719700</v>
      </c>
      <c r="G562" s="224">
        <v>5890000</v>
      </c>
      <c r="H562" s="224">
        <v>202362182700</v>
      </c>
      <c r="I562" s="224">
        <v>7273402200</v>
      </c>
      <c r="J562" s="224">
        <v>272548360839</v>
      </c>
      <c r="K562" s="224">
        <v>1231334966832.87</v>
      </c>
      <c r="L562" s="223">
        <v>560654263</v>
      </c>
      <c r="M562" s="223">
        <v>38273421</v>
      </c>
      <c r="N562" s="221">
        <f t="shared" si="154"/>
        <v>560654263239</v>
      </c>
      <c r="O562" s="221">
        <f t="shared" si="154"/>
        <v>1238614259032.87</v>
      </c>
      <c r="P562" s="239">
        <f aca="true" t="shared" si="155" ref="P562:P578">+C562+L562-M562</f>
        <v>1200340837</v>
      </c>
    </row>
    <row r="563" spans="1:16" ht="11.25">
      <c r="A563" s="195">
        <v>540302</v>
      </c>
      <c r="B563" s="125" t="s">
        <v>1756</v>
      </c>
      <c r="C563" s="184">
        <v>0</v>
      </c>
      <c r="D563" s="125">
        <v>0</v>
      </c>
      <c r="E563" s="229">
        <v>0</v>
      </c>
      <c r="F563" s="224"/>
      <c r="G563" s="224"/>
      <c r="H563" s="224"/>
      <c r="I563" s="224"/>
      <c r="J563" s="224"/>
      <c r="K563" s="224"/>
      <c r="L563" s="223">
        <v>0</v>
      </c>
      <c r="M563" s="223">
        <v>0</v>
      </c>
      <c r="N563" s="221">
        <f t="shared" si="154"/>
        <v>0</v>
      </c>
      <c r="O563" s="221">
        <f t="shared" si="154"/>
        <v>0</v>
      </c>
      <c r="P563" s="238">
        <f t="shared" si="155"/>
        <v>0</v>
      </c>
    </row>
    <row r="564" spans="1:16" ht="11.25">
      <c r="A564" s="195">
        <v>540303</v>
      </c>
      <c r="B564" s="125" t="s">
        <v>1757</v>
      </c>
      <c r="C564" s="184">
        <v>0</v>
      </c>
      <c r="D564" s="125">
        <v>0</v>
      </c>
      <c r="E564" s="229">
        <v>0</v>
      </c>
      <c r="F564" s="224"/>
      <c r="G564" s="224"/>
      <c r="H564" s="224"/>
      <c r="I564" s="224"/>
      <c r="J564" s="224"/>
      <c r="K564" s="224"/>
      <c r="L564" s="223">
        <v>0</v>
      </c>
      <c r="M564" s="223">
        <v>0</v>
      </c>
      <c r="N564" s="221">
        <f t="shared" si="154"/>
        <v>0</v>
      </c>
      <c r="O564" s="221">
        <f t="shared" si="154"/>
        <v>0</v>
      </c>
      <c r="P564" s="238">
        <f t="shared" si="155"/>
        <v>0</v>
      </c>
    </row>
    <row r="565" spans="1:16" ht="22.5">
      <c r="A565" s="195">
        <v>540304</v>
      </c>
      <c r="B565" s="125" t="s">
        <v>1758</v>
      </c>
      <c r="C565" s="184">
        <v>646359935</v>
      </c>
      <c r="D565" s="125">
        <v>0</v>
      </c>
      <c r="E565" s="229">
        <v>220748636081</v>
      </c>
      <c r="F565" s="224">
        <v>27533863583</v>
      </c>
      <c r="G565" s="224">
        <v>227273802</v>
      </c>
      <c r="H565" s="224">
        <v>116097999945</v>
      </c>
      <c r="I565" s="224">
        <v>778234145</v>
      </c>
      <c r="J565" s="224">
        <v>195141839050</v>
      </c>
      <c r="K565" s="224">
        <v>984128129765</v>
      </c>
      <c r="L565" s="223">
        <v>338773703</v>
      </c>
      <c r="M565" s="223">
        <v>6205322</v>
      </c>
      <c r="N565" s="221">
        <f t="shared" si="154"/>
        <v>338773702578</v>
      </c>
      <c r="O565" s="221">
        <f t="shared" si="154"/>
        <v>985133637712</v>
      </c>
      <c r="P565" s="239">
        <f t="shared" si="155"/>
        <v>978928316</v>
      </c>
    </row>
    <row r="566" spans="1:16" ht="22.5">
      <c r="A566" s="195">
        <v>540305</v>
      </c>
      <c r="B566" s="125" t="s">
        <v>1759</v>
      </c>
      <c r="C566" s="184">
        <v>0</v>
      </c>
      <c r="D566" s="125">
        <v>0</v>
      </c>
      <c r="E566" s="229">
        <v>0</v>
      </c>
      <c r="F566" s="224"/>
      <c r="G566" s="224"/>
      <c r="H566" s="224"/>
      <c r="I566" s="224"/>
      <c r="J566" s="224">
        <v>1444831569</v>
      </c>
      <c r="K566" s="224">
        <v>1444831569</v>
      </c>
      <c r="L566" s="223">
        <v>1444832</v>
      </c>
      <c r="M566" s="223"/>
      <c r="N566" s="221">
        <f t="shared" si="154"/>
        <v>1444831569</v>
      </c>
      <c r="O566" s="221">
        <f t="shared" si="154"/>
        <v>1444831569</v>
      </c>
      <c r="P566" s="239">
        <f t="shared" si="155"/>
        <v>1444832</v>
      </c>
    </row>
    <row r="567" spans="1:16" ht="22.5">
      <c r="A567" s="195">
        <v>540306</v>
      </c>
      <c r="B567" s="125" t="s">
        <v>1760</v>
      </c>
      <c r="C567" s="184">
        <v>0</v>
      </c>
      <c r="D567" s="125">
        <v>0</v>
      </c>
      <c r="E567" s="229">
        <v>0</v>
      </c>
      <c r="F567" s="224"/>
      <c r="G567" s="224"/>
      <c r="H567" s="224">
        <v>12000000000</v>
      </c>
      <c r="I567" s="224">
        <v>0</v>
      </c>
      <c r="J567" s="224">
        <v>0</v>
      </c>
      <c r="K567" s="224">
        <v>12000000000</v>
      </c>
      <c r="L567" s="223">
        <v>12000000</v>
      </c>
      <c r="M567" s="223">
        <v>12000000</v>
      </c>
      <c r="N567" s="221">
        <f t="shared" si="154"/>
        <v>12000000000</v>
      </c>
      <c r="O567" s="221">
        <f t="shared" si="154"/>
        <v>12000000000</v>
      </c>
      <c r="P567" s="238">
        <f t="shared" si="155"/>
        <v>0</v>
      </c>
    </row>
    <row r="568" spans="1:16" ht="11.25">
      <c r="A568" s="195">
        <v>540308</v>
      </c>
      <c r="B568" s="125" t="s">
        <v>1761</v>
      </c>
      <c r="C568" s="184">
        <v>0</v>
      </c>
      <c r="D568" s="125">
        <v>0</v>
      </c>
      <c r="E568" s="229">
        <v>0</v>
      </c>
      <c r="F568" s="224"/>
      <c r="G568" s="224"/>
      <c r="H568" s="224"/>
      <c r="I568" s="224"/>
      <c r="J568" s="224"/>
      <c r="K568" s="224"/>
      <c r="L568" s="223">
        <v>0</v>
      </c>
      <c r="M568" s="223">
        <v>0</v>
      </c>
      <c r="N568" s="221">
        <f t="shared" si="154"/>
        <v>0</v>
      </c>
      <c r="O568" s="221">
        <f t="shared" si="154"/>
        <v>0</v>
      </c>
      <c r="P568" s="238">
        <f t="shared" si="155"/>
        <v>0</v>
      </c>
    </row>
    <row r="569" spans="1:16" ht="11.25">
      <c r="A569" s="195">
        <v>540309</v>
      </c>
      <c r="B569" s="125" t="s">
        <v>1762</v>
      </c>
      <c r="C569" s="184">
        <v>0</v>
      </c>
      <c r="D569" s="125">
        <v>0</v>
      </c>
      <c r="E569" s="229">
        <v>0</v>
      </c>
      <c r="F569" s="224"/>
      <c r="G569" s="224"/>
      <c r="H569" s="224"/>
      <c r="I569" s="224"/>
      <c r="J569" s="224"/>
      <c r="K569" s="224"/>
      <c r="L569" s="223">
        <v>0</v>
      </c>
      <c r="M569" s="223">
        <v>0</v>
      </c>
      <c r="N569" s="221">
        <f t="shared" si="154"/>
        <v>0</v>
      </c>
      <c r="O569" s="221">
        <f t="shared" si="154"/>
        <v>0</v>
      </c>
      <c r="P569" s="238">
        <f t="shared" si="155"/>
        <v>0</v>
      </c>
    </row>
    <row r="570" spans="1:16" ht="11.25">
      <c r="A570" s="195">
        <v>540311</v>
      </c>
      <c r="B570" s="125" t="s">
        <v>1763</v>
      </c>
      <c r="C570" s="184">
        <v>433916107</v>
      </c>
      <c r="D570" s="125">
        <v>0</v>
      </c>
      <c r="E570" s="229">
        <v>113241866551</v>
      </c>
      <c r="F570" s="224">
        <v>58062870387</v>
      </c>
      <c r="G570" s="224">
        <v>0</v>
      </c>
      <c r="H570" s="224">
        <v>91917031952</v>
      </c>
      <c r="I570" s="224">
        <v>0</v>
      </c>
      <c r="J570" s="224">
        <v>91011025082</v>
      </c>
      <c r="K570" s="224">
        <v>674907033037</v>
      </c>
      <c r="L570" s="223">
        <v>240990927</v>
      </c>
      <c r="M570" s="223">
        <v>22717266</v>
      </c>
      <c r="N570" s="221">
        <f t="shared" si="154"/>
        <v>240990927421</v>
      </c>
      <c r="O570" s="221">
        <f t="shared" si="154"/>
        <v>674907033037</v>
      </c>
      <c r="P570" s="239">
        <f t="shared" si="155"/>
        <v>652189768</v>
      </c>
    </row>
    <row r="571" spans="1:16" ht="22.5">
      <c r="A571" s="195">
        <v>540312</v>
      </c>
      <c r="B571" s="125" t="s">
        <v>1764</v>
      </c>
      <c r="C571" s="184">
        <v>0</v>
      </c>
      <c r="D571" s="125">
        <v>0</v>
      </c>
      <c r="E571" s="229">
        <v>0</v>
      </c>
      <c r="F571" s="224"/>
      <c r="G571" s="224"/>
      <c r="H571" s="224"/>
      <c r="I571" s="224"/>
      <c r="J571" s="224"/>
      <c r="K571" s="224"/>
      <c r="L571" s="223">
        <v>0</v>
      </c>
      <c r="M571" s="223">
        <v>0</v>
      </c>
      <c r="N571" s="221">
        <f t="shared" si="154"/>
        <v>0</v>
      </c>
      <c r="O571" s="221">
        <f t="shared" si="154"/>
        <v>0</v>
      </c>
      <c r="P571" s="238">
        <f t="shared" si="155"/>
        <v>0</v>
      </c>
    </row>
    <row r="572" spans="1:16" ht="22.5">
      <c r="A572" s="195">
        <v>540313</v>
      </c>
      <c r="B572" s="125" t="s">
        <v>1765</v>
      </c>
      <c r="C572" s="184">
        <v>0</v>
      </c>
      <c r="D572" s="125">
        <v>0</v>
      </c>
      <c r="E572" s="229">
        <v>0</v>
      </c>
      <c r="F572" s="224"/>
      <c r="G572" s="224"/>
      <c r="H572" s="224">
        <v>6634649896</v>
      </c>
      <c r="I572" s="224">
        <v>0</v>
      </c>
      <c r="J572" s="224">
        <v>0</v>
      </c>
      <c r="K572" s="224">
        <v>6634649896</v>
      </c>
      <c r="L572" s="223">
        <v>6634650</v>
      </c>
      <c r="M572" s="223">
        <v>6634650</v>
      </c>
      <c r="N572" s="221">
        <f t="shared" si="154"/>
        <v>6634649896</v>
      </c>
      <c r="O572" s="221">
        <f t="shared" si="154"/>
        <v>6634649896</v>
      </c>
      <c r="P572" s="238">
        <f t="shared" si="155"/>
        <v>0</v>
      </c>
    </row>
    <row r="573" spans="1:16" ht="11.25">
      <c r="A573" s="195">
        <v>540315</v>
      </c>
      <c r="B573" s="125" t="s">
        <v>1766</v>
      </c>
      <c r="C573" s="184">
        <v>0</v>
      </c>
      <c r="D573" s="125">
        <v>0</v>
      </c>
      <c r="E573" s="229">
        <v>0</v>
      </c>
      <c r="F573" s="224"/>
      <c r="G573" s="224"/>
      <c r="H573" s="224"/>
      <c r="I573" s="224"/>
      <c r="J573" s="224"/>
      <c r="K573" s="224"/>
      <c r="L573" s="223">
        <v>0</v>
      </c>
      <c r="M573" s="223">
        <v>0</v>
      </c>
      <c r="N573" s="221">
        <f t="shared" si="154"/>
        <v>0</v>
      </c>
      <c r="O573" s="221">
        <f t="shared" si="154"/>
        <v>0</v>
      </c>
      <c r="P573" s="238">
        <f t="shared" si="155"/>
        <v>0</v>
      </c>
    </row>
    <row r="574" spans="1:16" ht="22.5">
      <c r="A574" s="195">
        <v>540318</v>
      </c>
      <c r="B574" s="125" t="s">
        <v>1767</v>
      </c>
      <c r="C574" s="184">
        <v>6357594</v>
      </c>
      <c r="D574" s="125">
        <v>0</v>
      </c>
      <c r="E574" s="229">
        <v>1738512999</v>
      </c>
      <c r="F574" s="224">
        <v>577963098</v>
      </c>
      <c r="G574" s="224">
        <v>0</v>
      </c>
      <c r="H574" s="224">
        <v>1541234929</v>
      </c>
      <c r="I574" s="224">
        <v>0</v>
      </c>
      <c r="J574" s="224">
        <v>1995514136</v>
      </c>
      <c r="K574" s="224">
        <v>10472306241</v>
      </c>
      <c r="L574" s="223">
        <v>4114712</v>
      </c>
      <c r="M574" s="223"/>
      <c r="N574" s="221">
        <f t="shared" si="154"/>
        <v>4114712163</v>
      </c>
      <c r="O574" s="221">
        <f t="shared" si="154"/>
        <v>10472306241</v>
      </c>
      <c r="P574" s="239">
        <f t="shared" si="155"/>
        <v>10472306</v>
      </c>
    </row>
    <row r="575" spans="1:16" ht="11.25">
      <c r="A575" s="195">
        <v>540322</v>
      </c>
      <c r="B575" s="125" t="s">
        <v>1768</v>
      </c>
      <c r="C575" s="184">
        <v>0</v>
      </c>
      <c r="D575" s="125">
        <v>0</v>
      </c>
      <c r="E575" s="229">
        <v>0</v>
      </c>
      <c r="F575" s="224"/>
      <c r="G575" s="224"/>
      <c r="H575" s="224"/>
      <c r="I575" s="224"/>
      <c r="J575" s="224"/>
      <c r="K575" s="224"/>
      <c r="L575" s="223">
        <v>0</v>
      </c>
      <c r="M575" s="223">
        <v>0</v>
      </c>
      <c r="N575" s="221">
        <f t="shared" si="154"/>
        <v>0</v>
      </c>
      <c r="O575" s="221">
        <f t="shared" si="154"/>
        <v>0</v>
      </c>
      <c r="P575" s="238">
        <f t="shared" si="155"/>
        <v>0</v>
      </c>
    </row>
    <row r="576" spans="1:16" ht="22.5">
      <c r="A576" s="195">
        <v>540325</v>
      </c>
      <c r="B576" s="125" t="s">
        <v>1769</v>
      </c>
      <c r="C576" s="184">
        <v>0</v>
      </c>
      <c r="D576" s="125">
        <v>0</v>
      </c>
      <c r="E576" s="229">
        <v>0</v>
      </c>
      <c r="F576" s="224"/>
      <c r="G576" s="224"/>
      <c r="H576" s="224"/>
      <c r="I576" s="224"/>
      <c r="J576" s="224"/>
      <c r="K576" s="224"/>
      <c r="L576" s="223">
        <v>0</v>
      </c>
      <c r="M576" s="223">
        <v>0</v>
      </c>
      <c r="N576" s="221">
        <f t="shared" si="154"/>
        <v>0</v>
      </c>
      <c r="O576" s="221">
        <f t="shared" si="154"/>
        <v>0</v>
      </c>
      <c r="P576" s="238">
        <f t="shared" si="155"/>
        <v>0</v>
      </c>
    </row>
    <row r="577" spans="1:16" ht="11.25">
      <c r="A577" s="195">
        <v>540329</v>
      </c>
      <c r="B577" s="125" t="s">
        <v>1770</v>
      </c>
      <c r="C577" s="184">
        <v>1360316</v>
      </c>
      <c r="D577" s="125">
        <v>0</v>
      </c>
      <c r="E577" s="229">
        <v>793508063</v>
      </c>
      <c r="F577" s="224">
        <v>281000000</v>
      </c>
      <c r="G577" s="224">
        <v>0</v>
      </c>
      <c r="H577" s="224">
        <v>686142633</v>
      </c>
      <c r="I577" s="224">
        <v>0</v>
      </c>
      <c r="J577" s="224">
        <v>1105359312</v>
      </c>
      <c r="K577" s="224">
        <v>3432817633</v>
      </c>
      <c r="L577" s="223">
        <v>2072502</v>
      </c>
      <c r="M577" s="231"/>
      <c r="N577" s="221">
        <f t="shared" si="154"/>
        <v>2072501945</v>
      </c>
      <c r="O577" s="221">
        <f t="shared" si="154"/>
        <v>3432817633</v>
      </c>
      <c r="P577" s="239">
        <f t="shared" si="155"/>
        <v>3432818</v>
      </c>
    </row>
    <row r="578" spans="1:16" ht="22.5">
      <c r="A578" s="195">
        <v>540390</v>
      </c>
      <c r="B578" s="125" t="s">
        <v>1771</v>
      </c>
      <c r="C578" s="184">
        <v>0</v>
      </c>
      <c r="D578" s="125">
        <v>0</v>
      </c>
      <c r="E578" s="229">
        <v>0</v>
      </c>
      <c r="F578" s="224"/>
      <c r="G578" s="224"/>
      <c r="H578" s="224"/>
      <c r="I578" s="224"/>
      <c r="J578" s="224"/>
      <c r="K578" s="224"/>
      <c r="L578" s="223">
        <v>0</v>
      </c>
      <c r="M578" s="223">
        <v>0</v>
      </c>
      <c r="N578" s="221">
        <f t="shared" si="154"/>
        <v>0</v>
      </c>
      <c r="O578" s="221">
        <f t="shared" si="154"/>
        <v>0</v>
      </c>
      <c r="P578" s="238">
        <f t="shared" si="155"/>
        <v>0</v>
      </c>
    </row>
    <row r="579" spans="1:16" ht="11.25">
      <c r="A579" s="194">
        <v>540400</v>
      </c>
      <c r="B579" s="124" t="s">
        <v>1772</v>
      </c>
      <c r="C579" s="220">
        <f aca="true" t="shared" si="156" ref="C579:M579">SUM(C580:C584)</f>
        <v>3488518</v>
      </c>
      <c r="D579" s="220">
        <f t="shared" si="156"/>
        <v>0</v>
      </c>
      <c r="E579" s="220">
        <f t="shared" si="156"/>
        <v>3488517640</v>
      </c>
      <c r="F579" s="220">
        <f t="shared" si="156"/>
        <v>0</v>
      </c>
      <c r="G579" s="220">
        <f t="shared" si="156"/>
        <v>0</v>
      </c>
      <c r="H579" s="220">
        <f t="shared" si="156"/>
        <v>0</v>
      </c>
      <c r="I579" s="220">
        <f t="shared" si="156"/>
        <v>3488517640</v>
      </c>
      <c r="J579" s="220">
        <f t="shared" si="156"/>
        <v>0</v>
      </c>
      <c r="K579" s="220">
        <f t="shared" si="156"/>
        <v>0</v>
      </c>
      <c r="L579" s="220">
        <f t="shared" si="156"/>
        <v>0</v>
      </c>
      <c r="M579" s="220">
        <f t="shared" si="156"/>
        <v>3488518</v>
      </c>
      <c r="N579" s="221">
        <f t="shared" si="154"/>
        <v>0</v>
      </c>
      <c r="O579" s="221">
        <f t="shared" si="154"/>
        <v>3488517640</v>
      </c>
      <c r="P579" s="238">
        <f>SUM(P580:P584)</f>
        <v>0</v>
      </c>
    </row>
    <row r="580" spans="1:16" ht="11.25">
      <c r="A580" s="195">
        <v>540401</v>
      </c>
      <c r="B580" s="125" t="s">
        <v>1773</v>
      </c>
      <c r="C580" s="184">
        <v>3488518</v>
      </c>
      <c r="D580" s="125">
        <v>0</v>
      </c>
      <c r="E580" s="229">
        <v>3488517640</v>
      </c>
      <c r="F580" s="224"/>
      <c r="G580" s="224"/>
      <c r="H580" s="224">
        <v>0</v>
      </c>
      <c r="I580" s="224">
        <v>3488517640</v>
      </c>
      <c r="J580" s="224"/>
      <c r="K580" s="224"/>
      <c r="L580" s="223">
        <v>0</v>
      </c>
      <c r="M580" s="223">
        <v>3488518</v>
      </c>
      <c r="N580" s="221">
        <f t="shared" si="154"/>
        <v>0</v>
      </c>
      <c r="O580" s="221">
        <f t="shared" si="154"/>
        <v>3488517640</v>
      </c>
      <c r="P580" s="238">
        <f>+C580+L580-M580</f>
        <v>0</v>
      </c>
    </row>
    <row r="581" spans="1:16" ht="11.25">
      <c r="A581" s="195">
        <v>540402</v>
      </c>
      <c r="B581" s="125" t="s">
        <v>1774</v>
      </c>
      <c r="C581" s="184">
        <v>0</v>
      </c>
      <c r="D581" s="125">
        <v>0</v>
      </c>
      <c r="E581" s="229">
        <v>0</v>
      </c>
      <c r="F581" s="224"/>
      <c r="G581" s="224"/>
      <c r="H581" s="224"/>
      <c r="I581" s="224"/>
      <c r="J581" s="224"/>
      <c r="K581" s="224"/>
      <c r="L581" s="223">
        <v>0</v>
      </c>
      <c r="M581" s="223">
        <v>0</v>
      </c>
      <c r="N581" s="221">
        <f t="shared" si="154"/>
        <v>0</v>
      </c>
      <c r="O581" s="221">
        <f t="shared" si="154"/>
        <v>0</v>
      </c>
      <c r="P581" s="238">
        <f>+C581+L581-M581</f>
        <v>0</v>
      </c>
    </row>
    <row r="582" spans="1:16" ht="11.25">
      <c r="A582" s="195">
        <v>540403</v>
      </c>
      <c r="B582" s="125" t="s">
        <v>1775</v>
      </c>
      <c r="C582" s="184">
        <v>0</v>
      </c>
      <c r="D582" s="125">
        <v>0</v>
      </c>
      <c r="E582" s="229">
        <v>0</v>
      </c>
      <c r="F582" s="224"/>
      <c r="G582" s="224"/>
      <c r="H582" s="224"/>
      <c r="I582" s="224"/>
      <c r="J582" s="224"/>
      <c r="K582" s="224"/>
      <c r="L582" s="223">
        <v>0</v>
      </c>
      <c r="M582" s="223">
        <v>0</v>
      </c>
      <c r="N582" s="221">
        <f t="shared" si="154"/>
        <v>0</v>
      </c>
      <c r="O582" s="221">
        <f t="shared" si="154"/>
        <v>0</v>
      </c>
      <c r="P582" s="238">
        <f>+C582+L582-M582</f>
        <v>0</v>
      </c>
    </row>
    <row r="583" spans="1:16" ht="11.25">
      <c r="A583" s="195">
        <v>540404</v>
      </c>
      <c r="B583" s="125" t="s">
        <v>1776</v>
      </c>
      <c r="C583" s="184">
        <v>0</v>
      </c>
      <c r="D583" s="125">
        <v>0</v>
      </c>
      <c r="E583" s="229">
        <v>0</v>
      </c>
      <c r="F583" s="224"/>
      <c r="G583" s="224"/>
      <c r="H583" s="224"/>
      <c r="I583" s="224"/>
      <c r="J583" s="224"/>
      <c r="K583" s="224"/>
      <c r="L583" s="223">
        <v>0</v>
      </c>
      <c r="M583" s="223">
        <v>0</v>
      </c>
      <c r="N583" s="221">
        <f t="shared" si="154"/>
        <v>0</v>
      </c>
      <c r="O583" s="221">
        <f t="shared" si="154"/>
        <v>0</v>
      </c>
      <c r="P583" s="238">
        <f>+C583+L583-M583</f>
        <v>0</v>
      </c>
    </row>
    <row r="584" spans="1:16" ht="22.5">
      <c r="A584" s="195">
        <v>540490</v>
      </c>
      <c r="B584" s="125" t="s">
        <v>1777</v>
      </c>
      <c r="C584" s="184">
        <v>0</v>
      </c>
      <c r="D584" s="125">
        <v>0</v>
      </c>
      <c r="E584" s="229">
        <v>0</v>
      </c>
      <c r="F584" s="224"/>
      <c r="G584" s="224"/>
      <c r="H584" s="224"/>
      <c r="I584" s="224"/>
      <c r="J584" s="224"/>
      <c r="K584" s="224"/>
      <c r="L584" s="223">
        <v>0</v>
      </c>
      <c r="M584" s="223">
        <v>0</v>
      </c>
      <c r="N584" s="221">
        <f t="shared" si="154"/>
        <v>0</v>
      </c>
      <c r="O584" s="221">
        <f t="shared" si="154"/>
        <v>0</v>
      </c>
      <c r="P584" s="238">
        <f>+C584+L584-M584</f>
        <v>0</v>
      </c>
    </row>
    <row r="585" spans="1:16" ht="11.25">
      <c r="A585" s="194">
        <v>540700</v>
      </c>
      <c r="B585" s="124" t="s">
        <v>1778</v>
      </c>
      <c r="C585" s="220">
        <f aca="true" t="shared" si="157" ref="C585:M585">SUM(C586:C587)</f>
        <v>0</v>
      </c>
      <c r="D585" s="220">
        <f t="shared" si="157"/>
        <v>0</v>
      </c>
      <c r="E585" s="220">
        <f t="shared" si="157"/>
        <v>0</v>
      </c>
      <c r="F585" s="220">
        <f t="shared" si="157"/>
        <v>0</v>
      </c>
      <c r="G585" s="220">
        <f t="shared" si="157"/>
        <v>0</v>
      </c>
      <c r="H585" s="220">
        <f t="shared" si="157"/>
        <v>0</v>
      </c>
      <c r="I585" s="220">
        <f t="shared" si="157"/>
        <v>0</v>
      </c>
      <c r="J585" s="220">
        <f t="shared" si="157"/>
        <v>0</v>
      </c>
      <c r="K585" s="220">
        <f t="shared" si="157"/>
        <v>0</v>
      </c>
      <c r="L585" s="220">
        <f t="shared" si="157"/>
        <v>0</v>
      </c>
      <c r="M585" s="220">
        <f t="shared" si="157"/>
        <v>0</v>
      </c>
      <c r="N585" s="221">
        <f t="shared" si="154"/>
        <v>0</v>
      </c>
      <c r="O585" s="221">
        <f t="shared" si="154"/>
        <v>0</v>
      </c>
      <c r="P585" s="238">
        <f>SUM(P586:P587)</f>
        <v>0</v>
      </c>
    </row>
    <row r="586" spans="1:16" ht="11.25">
      <c r="A586" s="195">
        <v>540705</v>
      </c>
      <c r="B586" s="125" t="s">
        <v>1779</v>
      </c>
      <c r="C586" s="184">
        <v>0</v>
      </c>
      <c r="D586" s="125">
        <v>0</v>
      </c>
      <c r="E586" s="229">
        <v>0</v>
      </c>
      <c r="F586" s="224"/>
      <c r="G586" s="224"/>
      <c r="H586" s="224"/>
      <c r="I586" s="224"/>
      <c r="J586" s="224"/>
      <c r="K586" s="224"/>
      <c r="L586" s="223">
        <v>0</v>
      </c>
      <c r="M586" s="223">
        <v>0</v>
      </c>
      <c r="N586" s="221">
        <f t="shared" si="154"/>
        <v>0</v>
      </c>
      <c r="O586" s="221">
        <f t="shared" si="154"/>
        <v>0</v>
      </c>
      <c r="P586" s="238">
        <f>+C586+L586-M586</f>
        <v>0</v>
      </c>
    </row>
    <row r="587" spans="1:16" ht="11.25">
      <c r="A587" s="195">
        <v>540706</v>
      </c>
      <c r="B587" s="125" t="s">
        <v>1780</v>
      </c>
      <c r="C587" s="184">
        <v>0</v>
      </c>
      <c r="D587" s="125">
        <v>0</v>
      </c>
      <c r="E587" s="229">
        <v>0</v>
      </c>
      <c r="F587" s="224"/>
      <c r="G587" s="224"/>
      <c r="H587" s="224"/>
      <c r="I587" s="224"/>
      <c r="J587" s="224"/>
      <c r="K587" s="224"/>
      <c r="L587" s="223">
        <v>0</v>
      </c>
      <c r="M587" s="223">
        <v>0</v>
      </c>
      <c r="N587" s="221">
        <f t="shared" si="154"/>
        <v>0</v>
      </c>
      <c r="O587" s="221">
        <f t="shared" si="154"/>
        <v>0</v>
      </c>
      <c r="P587" s="238">
        <f>+C587+L587-M587</f>
        <v>0</v>
      </c>
    </row>
    <row r="588" spans="1:16" ht="11.25">
      <c r="A588" s="194">
        <v>540800</v>
      </c>
      <c r="B588" s="124" t="s">
        <v>1781</v>
      </c>
      <c r="C588" s="220">
        <f aca="true" t="shared" si="158" ref="C588:M588">SUM(C589:C592)</f>
        <v>6492950195</v>
      </c>
      <c r="D588" s="220">
        <f t="shared" si="158"/>
        <v>0</v>
      </c>
      <c r="E588" s="220">
        <f t="shared" si="158"/>
        <v>2162166986820</v>
      </c>
      <c r="F588" s="220">
        <f t="shared" si="158"/>
        <v>1103092361591</v>
      </c>
      <c r="G588" s="220">
        <f t="shared" si="158"/>
        <v>0</v>
      </c>
      <c r="H588" s="220">
        <f t="shared" si="158"/>
        <v>756987661997</v>
      </c>
      <c r="I588" s="220">
        <f t="shared" si="158"/>
        <v>0</v>
      </c>
      <c r="J588" s="220">
        <f t="shared" si="158"/>
        <v>1648673263557</v>
      </c>
      <c r="K588" s="220">
        <f t="shared" si="158"/>
        <v>10001703481966</v>
      </c>
      <c r="L588" s="220">
        <f t="shared" si="158"/>
        <v>3508753287</v>
      </c>
      <c r="M588" s="220">
        <f t="shared" si="158"/>
        <v>790602240</v>
      </c>
      <c r="N588" s="221">
        <f t="shared" si="154"/>
        <v>3508753287145</v>
      </c>
      <c r="O588" s="221">
        <f t="shared" si="154"/>
        <v>10001703481966</v>
      </c>
      <c r="P588" s="238">
        <f>SUM(P589:P592)</f>
        <v>9211101242</v>
      </c>
    </row>
    <row r="589" spans="1:16" ht="11.25">
      <c r="A589" s="195">
        <v>540802</v>
      </c>
      <c r="B589" s="125" t="s">
        <v>1782</v>
      </c>
      <c r="C589" s="184">
        <v>3464858254</v>
      </c>
      <c r="D589" s="125">
        <v>0</v>
      </c>
      <c r="E589" s="229">
        <v>1149801203225</v>
      </c>
      <c r="F589" s="224">
        <v>629262746793</v>
      </c>
      <c r="G589" s="224">
        <v>0</v>
      </c>
      <c r="H589" s="224">
        <v>429110601020</v>
      </c>
      <c r="I589" s="224">
        <v>0</v>
      </c>
      <c r="J589" s="224">
        <v>888963084528</v>
      </c>
      <c r="K589" s="224">
        <v>5412194685756</v>
      </c>
      <c r="L589" s="223">
        <v>1947336432</v>
      </c>
      <c r="M589" s="223">
        <v>443182460</v>
      </c>
      <c r="N589" s="221">
        <f t="shared" si="154"/>
        <v>1947336432341</v>
      </c>
      <c r="O589" s="221">
        <f t="shared" si="154"/>
        <v>5412194685756</v>
      </c>
      <c r="P589" s="239">
        <f>+C589+L589-M589</f>
        <v>4969012226</v>
      </c>
    </row>
    <row r="590" spans="1:18" ht="11.25">
      <c r="A590" s="195">
        <v>540806</v>
      </c>
      <c r="B590" s="125" t="s">
        <v>1783</v>
      </c>
      <c r="C590" s="184">
        <v>2067511463</v>
      </c>
      <c r="D590" s="125">
        <v>0</v>
      </c>
      <c r="E590" s="229">
        <v>692410649584</v>
      </c>
      <c r="F590" s="224">
        <v>317771021174</v>
      </c>
      <c r="G590" s="224">
        <v>0</v>
      </c>
      <c r="H590" s="224">
        <v>214460025757</v>
      </c>
      <c r="I590" s="224">
        <v>0</v>
      </c>
      <c r="J590" s="224">
        <v>530050328938</v>
      </c>
      <c r="K590" s="224">
        <v>3129792838905</v>
      </c>
      <c r="L590" s="223">
        <v>1062281376</v>
      </c>
      <c r="M590" s="223">
        <v>235815096</v>
      </c>
      <c r="N590" s="221">
        <f t="shared" si="154"/>
        <v>1062281375869</v>
      </c>
      <c r="O590" s="221">
        <f t="shared" si="154"/>
        <v>3129792838905</v>
      </c>
      <c r="P590" s="239">
        <f>+C590+L590-M590</f>
        <v>2893977743</v>
      </c>
      <c r="Q590" s="196"/>
      <c r="R590" s="197"/>
    </row>
    <row r="591" spans="1:16" ht="11.25">
      <c r="A591" s="195">
        <v>540812</v>
      </c>
      <c r="B591" s="125" t="s">
        <v>1784</v>
      </c>
      <c r="C591" s="184">
        <v>960580478</v>
      </c>
      <c r="D591" s="125">
        <v>0</v>
      </c>
      <c r="E591" s="229">
        <v>319955134011</v>
      </c>
      <c r="F591" s="224">
        <v>156058593624</v>
      </c>
      <c r="G591" s="224">
        <v>0</v>
      </c>
      <c r="H591" s="224">
        <v>113417035220</v>
      </c>
      <c r="I591" s="224">
        <v>0</v>
      </c>
      <c r="J591" s="224">
        <v>229659850091</v>
      </c>
      <c r="K591" s="224">
        <v>1459715957305</v>
      </c>
      <c r="L591" s="223">
        <v>499135479</v>
      </c>
      <c r="M591" s="223">
        <v>111604684</v>
      </c>
      <c r="N591" s="221">
        <f t="shared" si="154"/>
        <v>499135478935</v>
      </c>
      <c r="O591" s="221">
        <f t="shared" si="154"/>
        <v>1459715957305</v>
      </c>
      <c r="P591" s="239">
        <f>+C591+L591-M591</f>
        <v>1348111273</v>
      </c>
    </row>
    <row r="592" spans="1:16" ht="11.25">
      <c r="A592" s="195">
        <v>540816</v>
      </c>
      <c r="B592" s="125" t="s">
        <v>1785</v>
      </c>
      <c r="C592" s="184">
        <v>0</v>
      </c>
      <c r="D592" s="125">
        <v>0</v>
      </c>
      <c r="E592" s="229">
        <v>0</v>
      </c>
      <c r="F592" s="224"/>
      <c r="G592" s="224"/>
      <c r="H592" s="224"/>
      <c r="I592" s="224"/>
      <c r="J592" s="224"/>
      <c r="K592" s="224"/>
      <c r="L592" s="223">
        <v>0</v>
      </c>
      <c r="M592" s="223">
        <v>0</v>
      </c>
      <c r="N592" s="221">
        <f t="shared" si="154"/>
        <v>0</v>
      </c>
      <c r="O592" s="221">
        <f t="shared" si="154"/>
        <v>0</v>
      </c>
      <c r="P592" s="238">
        <f>+C592+L592-M592</f>
        <v>0</v>
      </c>
    </row>
    <row r="593" spans="1:16" ht="11.25">
      <c r="A593" s="194">
        <v>541100</v>
      </c>
      <c r="B593" s="124" t="s">
        <v>1786</v>
      </c>
      <c r="C593" s="220">
        <f aca="true" t="shared" si="159" ref="C593:M593">SUM(C594:C600)</f>
        <v>0</v>
      </c>
      <c r="D593" s="220">
        <f t="shared" si="159"/>
        <v>0</v>
      </c>
      <c r="E593" s="220">
        <f t="shared" si="159"/>
        <v>0</v>
      </c>
      <c r="F593" s="220">
        <f t="shared" si="159"/>
        <v>0</v>
      </c>
      <c r="G593" s="220">
        <f t="shared" si="159"/>
        <v>0</v>
      </c>
      <c r="H593" s="220">
        <f t="shared" si="159"/>
        <v>0</v>
      </c>
      <c r="I593" s="220">
        <f t="shared" si="159"/>
        <v>0</v>
      </c>
      <c r="J593" s="220">
        <f t="shared" si="159"/>
        <v>0</v>
      </c>
      <c r="K593" s="220">
        <f t="shared" si="159"/>
        <v>0</v>
      </c>
      <c r="L593" s="220">
        <f t="shared" si="159"/>
        <v>0</v>
      </c>
      <c r="M593" s="220">
        <f t="shared" si="159"/>
        <v>0</v>
      </c>
      <c r="N593" s="221">
        <f aca="true" t="shared" si="160" ref="N593:O621">+F593+H593+J593</f>
        <v>0</v>
      </c>
      <c r="O593" s="221">
        <f t="shared" si="160"/>
        <v>0</v>
      </c>
      <c r="P593" s="238">
        <f>SUM(P594:P600)</f>
        <v>0</v>
      </c>
    </row>
    <row r="594" spans="1:16" ht="11.25">
      <c r="A594" s="195">
        <v>541101</v>
      </c>
      <c r="B594" s="125" t="s">
        <v>1755</v>
      </c>
      <c r="C594" s="184">
        <v>0</v>
      </c>
      <c r="D594" s="125">
        <v>0</v>
      </c>
      <c r="E594" s="229">
        <v>0</v>
      </c>
      <c r="F594" s="224"/>
      <c r="G594" s="224"/>
      <c r="H594" s="224"/>
      <c r="I594" s="224"/>
      <c r="J594" s="224"/>
      <c r="K594" s="224"/>
      <c r="L594" s="223">
        <v>0</v>
      </c>
      <c r="M594" s="223">
        <v>0</v>
      </c>
      <c r="N594" s="221">
        <f t="shared" si="160"/>
        <v>0</v>
      </c>
      <c r="O594" s="221">
        <f t="shared" si="160"/>
        <v>0</v>
      </c>
      <c r="P594" s="238">
        <f aca="true" t="shared" si="161" ref="P594:P600">+C594+L594-M594</f>
        <v>0</v>
      </c>
    </row>
    <row r="595" spans="1:16" ht="22.5">
      <c r="A595" s="195">
        <v>541104</v>
      </c>
      <c r="B595" s="125" t="s">
        <v>1787</v>
      </c>
      <c r="C595" s="184">
        <v>0</v>
      </c>
      <c r="D595" s="125">
        <v>0</v>
      </c>
      <c r="E595" s="229">
        <v>0</v>
      </c>
      <c r="F595" s="224"/>
      <c r="G595" s="224"/>
      <c r="H595" s="224"/>
      <c r="I595" s="224"/>
      <c r="J595" s="224"/>
      <c r="K595" s="224"/>
      <c r="L595" s="223">
        <v>0</v>
      </c>
      <c r="M595" s="223">
        <v>0</v>
      </c>
      <c r="N595" s="221">
        <f t="shared" si="160"/>
        <v>0</v>
      </c>
      <c r="O595" s="221">
        <f t="shared" si="160"/>
        <v>0</v>
      </c>
      <c r="P595" s="238">
        <f t="shared" si="161"/>
        <v>0</v>
      </c>
    </row>
    <row r="596" spans="1:16" ht="11.25">
      <c r="A596" s="195">
        <v>541106</v>
      </c>
      <c r="B596" s="125" t="s">
        <v>1788</v>
      </c>
      <c r="C596" s="184">
        <v>0</v>
      </c>
      <c r="D596" s="125">
        <v>0</v>
      </c>
      <c r="E596" s="229">
        <v>0</v>
      </c>
      <c r="F596" s="224"/>
      <c r="G596" s="224"/>
      <c r="H596" s="224"/>
      <c r="I596" s="224"/>
      <c r="J596" s="224"/>
      <c r="K596" s="224"/>
      <c r="L596" s="223">
        <v>0</v>
      </c>
      <c r="M596" s="223">
        <v>0</v>
      </c>
      <c r="N596" s="221">
        <f t="shared" si="160"/>
        <v>0</v>
      </c>
      <c r="O596" s="221">
        <f t="shared" si="160"/>
        <v>0</v>
      </c>
      <c r="P596" s="238">
        <f t="shared" si="161"/>
        <v>0</v>
      </c>
    </row>
    <row r="597" spans="1:16" ht="11.25">
      <c r="A597" s="195">
        <v>541108</v>
      </c>
      <c r="B597" s="125" t="s">
        <v>1761</v>
      </c>
      <c r="C597" s="184">
        <v>0</v>
      </c>
      <c r="D597" s="125">
        <v>0</v>
      </c>
      <c r="E597" s="229">
        <v>0</v>
      </c>
      <c r="F597" s="224"/>
      <c r="G597" s="224"/>
      <c r="H597" s="224"/>
      <c r="I597" s="224"/>
      <c r="J597" s="224"/>
      <c r="K597" s="224"/>
      <c r="L597" s="223">
        <v>0</v>
      </c>
      <c r="M597" s="223">
        <v>0</v>
      </c>
      <c r="N597" s="221">
        <f t="shared" si="160"/>
        <v>0</v>
      </c>
      <c r="O597" s="221">
        <f t="shared" si="160"/>
        <v>0</v>
      </c>
      <c r="P597" s="238">
        <f t="shared" si="161"/>
        <v>0</v>
      </c>
    </row>
    <row r="598" spans="1:16" ht="11.25">
      <c r="A598" s="195">
        <v>541111</v>
      </c>
      <c r="B598" s="125" t="s">
        <v>1763</v>
      </c>
      <c r="C598" s="184">
        <v>0</v>
      </c>
      <c r="D598" s="125">
        <v>0</v>
      </c>
      <c r="E598" s="229">
        <v>0</v>
      </c>
      <c r="F598" s="224"/>
      <c r="G598" s="224"/>
      <c r="H598" s="224"/>
      <c r="I598" s="224"/>
      <c r="J598" s="224"/>
      <c r="K598" s="224"/>
      <c r="L598" s="223">
        <v>0</v>
      </c>
      <c r="M598" s="223">
        <v>0</v>
      </c>
      <c r="N598" s="221">
        <f t="shared" si="160"/>
        <v>0</v>
      </c>
      <c r="O598" s="221">
        <f t="shared" si="160"/>
        <v>0</v>
      </c>
      <c r="P598" s="238">
        <f t="shared" si="161"/>
        <v>0</v>
      </c>
    </row>
    <row r="599" spans="1:16" ht="11.25">
      <c r="A599" s="195">
        <v>541115</v>
      </c>
      <c r="B599" s="125" t="s">
        <v>1766</v>
      </c>
      <c r="C599" s="184">
        <v>0</v>
      </c>
      <c r="D599" s="125">
        <v>0</v>
      </c>
      <c r="E599" s="229">
        <v>0</v>
      </c>
      <c r="F599" s="224"/>
      <c r="G599" s="224"/>
      <c r="H599" s="224"/>
      <c r="I599" s="224"/>
      <c r="J599" s="224"/>
      <c r="K599" s="224"/>
      <c r="L599" s="223">
        <v>0</v>
      </c>
      <c r="M599" s="223">
        <v>0</v>
      </c>
      <c r="N599" s="221">
        <f t="shared" si="160"/>
        <v>0</v>
      </c>
      <c r="O599" s="221">
        <f t="shared" si="160"/>
        <v>0</v>
      </c>
      <c r="P599" s="238">
        <f t="shared" si="161"/>
        <v>0</v>
      </c>
    </row>
    <row r="600" spans="1:16" ht="11.25">
      <c r="A600" s="195">
        <v>541122</v>
      </c>
      <c r="B600" s="125" t="s">
        <v>1789</v>
      </c>
      <c r="C600" s="184">
        <v>0</v>
      </c>
      <c r="D600" s="125">
        <v>0</v>
      </c>
      <c r="E600" s="229">
        <v>0</v>
      </c>
      <c r="F600" s="224"/>
      <c r="G600" s="224"/>
      <c r="H600" s="224"/>
      <c r="I600" s="224"/>
      <c r="J600" s="224"/>
      <c r="K600" s="224"/>
      <c r="L600" s="223">
        <v>0</v>
      </c>
      <c r="M600" s="223">
        <v>0</v>
      </c>
      <c r="N600" s="221">
        <f t="shared" si="160"/>
        <v>0</v>
      </c>
      <c r="O600" s="221">
        <f t="shared" si="160"/>
        <v>0</v>
      </c>
      <c r="P600" s="238">
        <f t="shared" si="161"/>
        <v>0</v>
      </c>
    </row>
    <row r="601" spans="1:16" ht="11.25">
      <c r="A601" s="194">
        <v>541700</v>
      </c>
      <c r="B601" s="124" t="s">
        <v>1790</v>
      </c>
      <c r="C601" s="220">
        <f aca="true" t="shared" si="162" ref="C601:M601">C602</f>
        <v>0</v>
      </c>
      <c r="D601" s="220">
        <f t="shared" si="162"/>
        <v>0</v>
      </c>
      <c r="E601" s="220">
        <f t="shared" si="162"/>
        <v>0</v>
      </c>
      <c r="F601" s="220">
        <f t="shared" si="162"/>
        <v>0</v>
      </c>
      <c r="G601" s="220">
        <f t="shared" si="162"/>
        <v>0</v>
      </c>
      <c r="H601" s="220">
        <f t="shared" si="162"/>
        <v>0</v>
      </c>
      <c r="I601" s="220">
        <f t="shared" si="162"/>
        <v>0</v>
      </c>
      <c r="J601" s="220">
        <f t="shared" si="162"/>
        <v>0</v>
      </c>
      <c r="K601" s="220">
        <f t="shared" si="162"/>
        <v>0</v>
      </c>
      <c r="L601" s="220">
        <f t="shared" si="162"/>
        <v>0</v>
      </c>
      <c r="M601" s="220">
        <f t="shared" si="162"/>
        <v>0</v>
      </c>
      <c r="N601" s="221">
        <f t="shared" si="160"/>
        <v>0</v>
      </c>
      <c r="O601" s="221">
        <f t="shared" si="160"/>
        <v>0</v>
      </c>
      <c r="P601" s="238">
        <f>P602</f>
        <v>0</v>
      </c>
    </row>
    <row r="602" spans="1:16" ht="11.25">
      <c r="A602" s="195">
        <v>541702</v>
      </c>
      <c r="B602" s="125" t="s">
        <v>1791</v>
      </c>
      <c r="C602" s="184">
        <v>0</v>
      </c>
      <c r="D602" s="125">
        <v>0</v>
      </c>
      <c r="E602" s="229">
        <v>0</v>
      </c>
      <c r="F602" s="224"/>
      <c r="G602" s="224"/>
      <c r="H602" s="224"/>
      <c r="I602" s="224"/>
      <c r="J602" s="224"/>
      <c r="K602" s="224"/>
      <c r="L602" s="223">
        <v>0</v>
      </c>
      <c r="M602" s="223">
        <v>0</v>
      </c>
      <c r="N602" s="221">
        <f t="shared" si="160"/>
        <v>0</v>
      </c>
      <c r="O602" s="221">
        <f t="shared" si="160"/>
        <v>0</v>
      </c>
      <c r="P602" s="238">
        <f>+C602+L602-M602</f>
        <v>0</v>
      </c>
    </row>
    <row r="603" spans="1:16" ht="11.25">
      <c r="A603" s="194">
        <v>550000</v>
      </c>
      <c r="B603" s="124" t="s">
        <v>1792</v>
      </c>
      <c r="C603" s="220">
        <f aca="true" t="shared" si="163" ref="C603:M603">C604+C606</f>
        <v>0</v>
      </c>
      <c r="D603" s="220">
        <f t="shared" si="163"/>
        <v>0</v>
      </c>
      <c r="E603" s="220">
        <f t="shared" si="163"/>
        <v>0</v>
      </c>
      <c r="F603" s="220">
        <f t="shared" si="163"/>
        <v>0</v>
      </c>
      <c r="G603" s="220">
        <f t="shared" si="163"/>
        <v>0</v>
      </c>
      <c r="H603" s="220">
        <f t="shared" si="163"/>
        <v>0</v>
      </c>
      <c r="I603" s="220">
        <f t="shared" si="163"/>
        <v>0</v>
      </c>
      <c r="J603" s="220">
        <f t="shared" si="163"/>
        <v>0</v>
      </c>
      <c r="K603" s="220">
        <f t="shared" si="163"/>
        <v>0</v>
      </c>
      <c r="L603" s="220">
        <f t="shared" si="163"/>
        <v>0</v>
      </c>
      <c r="M603" s="220">
        <f t="shared" si="163"/>
        <v>0</v>
      </c>
      <c r="N603" s="221">
        <f t="shared" si="160"/>
        <v>0</v>
      </c>
      <c r="O603" s="221">
        <f t="shared" si="160"/>
        <v>0</v>
      </c>
      <c r="P603" s="238">
        <f>P604+P606</f>
        <v>0</v>
      </c>
    </row>
    <row r="604" spans="1:16" ht="11.25">
      <c r="A604" s="194">
        <v>550100</v>
      </c>
      <c r="B604" s="124" t="s">
        <v>1793</v>
      </c>
      <c r="C604" s="220">
        <f aca="true" t="shared" si="164" ref="C604:M604">C605</f>
        <v>0</v>
      </c>
      <c r="D604" s="220">
        <f t="shared" si="164"/>
        <v>0</v>
      </c>
      <c r="E604" s="220">
        <f t="shared" si="164"/>
        <v>0</v>
      </c>
      <c r="F604" s="220">
        <f t="shared" si="164"/>
        <v>0</v>
      </c>
      <c r="G604" s="220">
        <f t="shared" si="164"/>
        <v>0</v>
      </c>
      <c r="H604" s="220">
        <f t="shared" si="164"/>
        <v>0</v>
      </c>
      <c r="I604" s="220">
        <f t="shared" si="164"/>
        <v>0</v>
      </c>
      <c r="J604" s="220">
        <f t="shared" si="164"/>
        <v>0</v>
      </c>
      <c r="K604" s="220">
        <f t="shared" si="164"/>
        <v>0</v>
      </c>
      <c r="L604" s="220">
        <f t="shared" si="164"/>
        <v>0</v>
      </c>
      <c r="M604" s="220">
        <f t="shared" si="164"/>
        <v>0</v>
      </c>
      <c r="N604" s="221">
        <f t="shared" si="160"/>
        <v>0</v>
      </c>
      <c r="O604" s="221">
        <f t="shared" si="160"/>
        <v>0</v>
      </c>
      <c r="P604" s="238">
        <f>P605</f>
        <v>0</v>
      </c>
    </row>
    <row r="605" spans="1:16" ht="11.25">
      <c r="A605" s="195">
        <v>550106</v>
      </c>
      <c r="B605" s="125" t="s">
        <v>1794</v>
      </c>
      <c r="C605" s="184">
        <v>0</v>
      </c>
      <c r="D605" s="125">
        <v>0</v>
      </c>
      <c r="E605" s="229">
        <v>0</v>
      </c>
      <c r="F605" s="224"/>
      <c r="G605" s="224"/>
      <c r="H605" s="224"/>
      <c r="I605" s="224"/>
      <c r="J605" s="224"/>
      <c r="K605" s="224"/>
      <c r="L605" s="223">
        <v>0</v>
      </c>
      <c r="M605" s="223">
        <v>0</v>
      </c>
      <c r="N605" s="221">
        <f t="shared" si="160"/>
        <v>0</v>
      </c>
      <c r="O605" s="221">
        <f t="shared" si="160"/>
        <v>0</v>
      </c>
      <c r="P605" s="238">
        <f>+C605+L605-M605</f>
        <v>0</v>
      </c>
    </row>
    <row r="606" spans="1:16" ht="11.25">
      <c r="A606" s="194">
        <v>555000</v>
      </c>
      <c r="B606" s="124" t="s">
        <v>943</v>
      </c>
      <c r="C606" s="220">
        <f aca="true" t="shared" si="165" ref="C606:M606">C607</f>
        <v>0</v>
      </c>
      <c r="D606" s="220">
        <f t="shared" si="165"/>
        <v>0</v>
      </c>
      <c r="E606" s="220">
        <f t="shared" si="165"/>
        <v>0</v>
      </c>
      <c r="F606" s="220">
        <f t="shared" si="165"/>
        <v>0</v>
      </c>
      <c r="G606" s="220">
        <f t="shared" si="165"/>
        <v>0</v>
      </c>
      <c r="H606" s="220">
        <f t="shared" si="165"/>
        <v>0</v>
      </c>
      <c r="I606" s="220">
        <f t="shared" si="165"/>
        <v>0</v>
      </c>
      <c r="J606" s="220">
        <f t="shared" si="165"/>
        <v>0</v>
      </c>
      <c r="K606" s="220">
        <f t="shared" si="165"/>
        <v>0</v>
      </c>
      <c r="L606" s="220">
        <f t="shared" si="165"/>
        <v>0</v>
      </c>
      <c r="M606" s="220">
        <f t="shared" si="165"/>
        <v>0</v>
      </c>
      <c r="N606" s="221">
        <f t="shared" si="160"/>
        <v>0</v>
      </c>
      <c r="O606" s="221">
        <f t="shared" si="160"/>
        <v>0</v>
      </c>
      <c r="P606" s="238">
        <f>P607</f>
        <v>0</v>
      </c>
    </row>
    <row r="607" spans="1:16" ht="11.25">
      <c r="A607" s="195">
        <v>555002</v>
      </c>
      <c r="B607" s="93" t="s">
        <v>1795</v>
      </c>
      <c r="C607" s="184">
        <v>0</v>
      </c>
      <c r="D607" s="184">
        <v>0</v>
      </c>
      <c r="E607" s="229">
        <v>0</v>
      </c>
      <c r="F607" s="224"/>
      <c r="G607" s="224"/>
      <c r="H607" s="224"/>
      <c r="I607" s="224"/>
      <c r="J607" s="224"/>
      <c r="K607" s="224"/>
      <c r="L607" s="223">
        <v>0</v>
      </c>
      <c r="M607" s="223">
        <v>0</v>
      </c>
      <c r="N607" s="221">
        <f t="shared" si="160"/>
        <v>0</v>
      </c>
      <c r="O607" s="221">
        <f t="shared" si="160"/>
        <v>0</v>
      </c>
      <c r="P607" s="238">
        <f>+C607+L607-M607</f>
        <v>0</v>
      </c>
    </row>
    <row r="608" spans="1:16" ht="11.25">
      <c r="A608" s="194">
        <v>560000</v>
      </c>
      <c r="B608" s="124" t="s">
        <v>1796</v>
      </c>
      <c r="C608" s="220">
        <f aca="true" t="shared" si="166" ref="C608:M608">C609+C612+C619+C622+C624</f>
        <v>80927906</v>
      </c>
      <c r="D608" s="220">
        <f t="shared" si="166"/>
        <v>0</v>
      </c>
      <c r="E608" s="220">
        <f t="shared" si="166"/>
        <v>38253829906.240005</v>
      </c>
      <c r="F608" s="220">
        <f t="shared" si="166"/>
        <v>9326124121</v>
      </c>
      <c r="G608" s="220">
        <f t="shared" si="166"/>
        <v>427977246</v>
      </c>
      <c r="H608" s="220">
        <f t="shared" si="166"/>
        <v>9868058594.62</v>
      </c>
      <c r="I608" s="220">
        <f t="shared" si="166"/>
        <v>0</v>
      </c>
      <c r="J608" s="220">
        <f t="shared" si="166"/>
        <v>166584852241.69</v>
      </c>
      <c r="K608" s="220">
        <f t="shared" si="166"/>
        <v>266278964075.76</v>
      </c>
      <c r="L608" s="220">
        <f t="shared" si="166"/>
        <v>185711262</v>
      </c>
      <c r="M608" s="220">
        <f t="shared" si="166"/>
        <v>4027824</v>
      </c>
      <c r="N608" s="221">
        <f t="shared" si="160"/>
        <v>185779034957.31</v>
      </c>
      <c r="O608" s="221">
        <f t="shared" si="160"/>
        <v>266706941321.76</v>
      </c>
      <c r="P608" s="238">
        <f>P609+P612+P619+P622+P624</f>
        <v>262611344</v>
      </c>
    </row>
    <row r="609" spans="1:16" ht="11.25">
      <c r="A609" s="194">
        <v>560100</v>
      </c>
      <c r="B609" s="124" t="s">
        <v>1797</v>
      </c>
      <c r="C609" s="220">
        <f aca="true" t="shared" si="167" ref="C609:M609">SUM(C610:C611)</f>
        <v>5777</v>
      </c>
      <c r="D609" s="220">
        <f t="shared" si="167"/>
        <v>0</v>
      </c>
      <c r="E609" s="220">
        <f t="shared" si="167"/>
        <v>0</v>
      </c>
      <c r="F609" s="220">
        <f t="shared" si="167"/>
        <v>0</v>
      </c>
      <c r="G609" s="220">
        <f t="shared" si="167"/>
        <v>5777246</v>
      </c>
      <c r="H609" s="220">
        <f t="shared" si="167"/>
        <v>19129068</v>
      </c>
      <c r="I609" s="220">
        <f t="shared" si="167"/>
        <v>0</v>
      </c>
      <c r="J609" s="220">
        <f t="shared" si="167"/>
        <v>11679219</v>
      </c>
      <c r="K609" s="220">
        <f t="shared" si="167"/>
        <v>30808287</v>
      </c>
      <c r="L609" s="220">
        <f t="shared" si="167"/>
        <v>30809</v>
      </c>
      <c r="M609" s="220">
        <f t="shared" si="167"/>
        <v>36586</v>
      </c>
      <c r="N609" s="221">
        <f t="shared" si="160"/>
        <v>30808287</v>
      </c>
      <c r="O609" s="221">
        <f t="shared" si="160"/>
        <v>36585533</v>
      </c>
      <c r="P609" s="238">
        <f>SUM(P610:P611)</f>
        <v>0</v>
      </c>
    </row>
    <row r="610" spans="1:16" ht="11.25">
      <c r="A610" s="195">
        <v>560101</v>
      </c>
      <c r="B610" s="125" t="s">
        <v>1798</v>
      </c>
      <c r="C610" s="184">
        <v>0</v>
      </c>
      <c r="D610" s="184">
        <v>0</v>
      </c>
      <c r="E610" s="229">
        <v>0</v>
      </c>
      <c r="F610" s="224"/>
      <c r="G610" s="224"/>
      <c r="H610" s="224"/>
      <c r="I610" s="224"/>
      <c r="J610" s="224"/>
      <c r="K610" s="224"/>
      <c r="L610" s="223">
        <v>0</v>
      </c>
      <c r="M610" s="223">
        <v>0</v>
      </c>
      <c r="N610" s="221">
        <f t="shared" si="160"/>
        <v>0</v>
      </c>
      <c r="O610" s="221">
        <f t="shared" si="160"/>
        <v>0</v>
      </c>
      <c r="P610" s="238">
        <f>+C610+L610-M610</f>
        <v>0</v>
      </c>
    </row>
    <row r="611" spans="1:16" ht="11.25">
      <c r="A611" s="195">
        <v>560105</v>
      </c>
      <c r="B611" s="125"/>
      <c r="C611" s="184">
        <v>5777</v>
      </c>
      <c r="D611" s="184"/>
      <c r="E611" s="229"/>
      <c r="F611" s="224">
        <v>0</v>
      </c>
      <c r="G611" s="224">
        <v>5777246</v>
      </c>
      <c r="H611" s="224">
        <v>19129068</v>
      </c>
      <c r="I611" s="224">
        <v>0</v>
      </c>
      <c r="J611" s="224">
        <v>11679219</v>
      </c>
      <c r="K611" s="224">
        <v>30808287</v>
      </c>
      <c r="L611" s="223">
        <f>30808+1</f>
        <v>30809</v>
      </c>
      <c r="M611" s="223">
        <v>36586</v>
      </c>
      <c r="N611" s="221">
        <f t="shared" si="160"/>
        <v>30808287</v>
      </c>
      <c r="O611" s="221">
        <f t="shared" si="160"/>
        <v>36585533</v>
      </c>
      <c r="P611" s="238">
        <f>+C611+L611-M611</f>
        <v>0</v>
      </c>
    </row>
    <row r="612" spans="1:16" ht="11.25">
      <c r="A612" s="194">
        <v>560200</v>
      </c>
      <c r="B612" s="124" t="s">
        <v>1800</v>
      </c>
      <c r="C612" s="220">
        <f aca="true" t="shared" si="168" ref="C612:M612">SUM(C613:C618)</f>
        <v>80922129</v>
      </c>
      <c r="D612" s="220">
        <f t="shared" si="168"/>
        <v>0</v>
      </c>
      <c r="E612" s="220">
        <f t="shared" si="168"/>
        <v>39684615071.240005</v>
      </c>
      <c r="F612" s="220">
        <f t="shared" si="168"/>
        <v>9326124121</v>
      </c>
      <c r="G612" s="220">
        <f t="shared" si="168"/>
        <v>422200000</v>
      </c>
      <c r="H612" s="220">
        <f t="shared" si="168"/>
        <v>9848929526.62</v>
      </c>
      <c r="I612" s="220">
        <f t="shared" si="168"/>
        <v>0</v>
      </c>
      <c r="J612" s="220">
        <f t="shared" si="168"/>
        <v>166424571222.69</v>
      </c>
      <c r="K612" s="220">
        <f t="shared" si="168"/>
        <v>266099553988.76</v>
      </c>
      <c r="L612" s="220">
        <f t="shared" si="168"/>
        <v>185599625</v>
      </c>
      <c r="M612" s="220">
        <f t="shared" si="168"/>
        <v>3910410</v>
      </c>
      <c r="N612" s="221">
        <f t="shared" si="160"/>
        <v>185599624870.31</v>
      </c>
      <c r="O612" s="221">
        <f t="shared" si="160"/>
        <v>266521753988.76</v>
      </c>
      <c r="P612" s="238">
        <f>SUM(P613:P618)</f>
        <v>262611344</v>
      </c>
    </row>
    <row r="613" spans="1:16" ht="11.25">
      <c r="A613" s="195">
        <v>560201</v>
      </c>
      <c r="B613" s="125" t="s">
        <v>1798</v>
      </c>
      <c r="C613" s="226"/>
      <c r="D613" s="124"/>
      <c r="E613" s="124"/>
      <c r="F613" s="224"/>
      <c r="G613" s="224"/>
      <c r="H613" s="224"/>
      <c r="I613" s="224"/>
      <c r="J613" s="224">
        <v>566262954.5</v>
      </c>
      <c r="K613" s="224">
        <v>566262954.5</v>
      </c>
      <c r="L613" s="223">
        <v>566263</v>
      </c>
      <c r="M613" s="223"/>
      <c r="N613" s="221">
        <f t="shared" si="160"/>
        <v>566262954.5</v>
      </c>
      <c r="O613" s="221">
        <f t="shared" si="160"/>
        <v>566262954.5</v>
      </c>
      <c r="P613" s="239">
        <f aca="true" t="shared" si="169" ref="P613:P618">+C613+L613-M613</f>
        <v>566263</v>
      </c>
    </row>
    <row r="614" spans="1:16" ht="11.25">
      <c r="A614" s="195">
        <v>560202</v>
      </c>
      <c r="B614" s="125" t="s">
        <v>1801</v>
      </c>
      <c r="C614" s="226"/>
      <c r="D614" s="124"/>
      <c r="E614" s="124"/>
      <c r="F614" s="224"/>
      <c r="G614" s="224"/>
      <c r="H614" s="224"/>
      <c r="I614" s="224"/>
      <c r="J614" s="224">
        <v>79294374</v>
      </c>
      <c r="K614" s="224">
        <v>79294374</v>
      </c>
      <c r="L614" s="223">
        <v>79294</v>
      </c>
      <c r="M614" s="223"/>
      <c r="N614" s="221">
        <f t="shared" si="160"/>
        <v>79294374</v>
      </c>
      <c r="O614" s="221">
        <f t="shared" si="160"/>
        <v>79294374</v>
      </c>
      <c r="P614" s="239">
        <f t="shared" si="169"/>
        <v>79294</v>
      </c>
    </row>
    <row r="615" spans="1:16" ht="11.25">
      <c r="A615" s="195">
        <v>560203</v>
      </c>
      <c r="B615" s="125" t="s">
        <v>1802</v>
      </c>
      <c r="C615" s="226"/>
      <c r="D615" s="124"/>
      <c r="E615" s="124"/>
      <c r="F615" s="224"/>
      <c r="G615" s="224"/>
      <c r="H615" s="224"/>
      <c r="I615" s="224"/>
      <c r="J615" s="224">
        <v>104867673</v>
      </c>
      <c r="K615" s="224">
        <v>104867673</v>
      </c>
      <c r="L615" s="223">
        <v>104868</v>
      </c>
      <c r="M615" s="223"/>
      <c r="N615" s="221">
        <f t="shared" si="160"/>
        <v>104867673</v>
      </c>
      <c r="O615" s="221">
        <f t="shared" si="160"/>
        <v>104867673</v>
      </c>
      <c r="P615" s="239">
        <f t="shared" si="169"/>
        <v>104868</v>
      </c>
    </row>
    <row r="616" spans="1:16" ht="11.25">
      <c r="A616" s="195">
        <v>560204</v>
      </c>
      <c r="B616" s="125" t="s">
        <v>1803</v>
      </c>
      <c r="C616" s="226"/>
      <c r="D616" s="124"/>
      <c r="E616" s="124"/>
      <c r="F616" s="224"/>
      <c r="G616" s="224"/>
      <c r="H616" s="224"/>
      <c r="I616" s="224"/>
      <c r="J616" s="224">
        <v>45605327</v>
      </c>
      <c r="K616" s="224">
        <v>45605327</v>
      </c>
      <c r="L616" s="223">
        <v>45605</v>
      </c>
      <c r="M616" s="223"/>
      <c r="N616" s="221">
        <f t="shared" si="160"/>
        <v>45605327</v>
      </c>
      <c r="O616" s="221">
        <f t="shared" si="160"/>
        <v>45605327</v>
      </c>
      <c r="P616" s="239">
        <f t="shared" si="169"/>
        <v>45605</v>
      </c>
    </row>
    <row r="617" spans="1:16" ht="11.25">
      <c r="A617" s="195">
        <v>560205</v>
      </c>
      <c r="B617" s="125" t="s">
        <v>1799</v>
      </c>
      <c r="C617" s="184">
        <v>80922129</v>
      </c>
      <c r="D617" s="184">
        <v>0</v>
      </c>
      <c r="E617" s="229">
        <v>35785735236.94</v>
      </c>
      <c r="F617" s="224">
        <v>9326124121</v>
      </c>
      <c r="G617" s="224">
        <v>422200000</v>
      </c>
      <c r="H617" s="224">
        <v>9848929526.62</v>
      </c>
      <c r="I617" s="224">
        <v>0</v>
      </c>
      <c r="J617" s="224">
        <v>164738235213.19</v>
      </c>
      <c r="K617" s="224">
        <v>264413217979.26</v>
      </c>
      <c r="L617" s="223">
        <v>183913289</v>
      </c>
      <c r="M617" s="223">
        <v>3910410</v>
      </c>
      <c r="N617" s="221">
        <f t="shared" si="160"/>
        <v>183913288860.81</v>
      </c>
      <c r="O617" s="221">
        <f t="shared" si="160"/>
        <v>264835417979.26</v>
      </c>
      <c r="P617" s="239">
        <f t="shared" si="169"/>
        <v>260925008</v>
      </c>
    </row>
    <row r="618" spans="1:16" ht="11.25">
      <c r="A618" s="195">
        <v>560206</v>
      </c>
      <c r="B618" s="93" t="s">
        <v>1794</v>
      </c>
      <c r="C618" s="184">
        <v>0</v>
      </c>
      <c r="D618" s="184">
        <v>0</v>
      </c>
      <c r="E618" s="229">
        <v>3898879834.3</v>
      </c>
      <c r="F618" s="224"/>
      <c r="G618" s="224"/>
      <c r="H618" s="224"/>
      <c r="I618" s="224"/>
      <c r="J618" s="224">
        <v>890305681</v>
      </c>
      <c r="K618" s="224">
        <v>890305681</v>
      </c>
      <c r="L618" s="223">
        <v>890306</v>
      </c>
      <c r="M618" s="223"/>
      <c r="N618" s="221">
        <f t="shared" si="160"/>
        <v>890305681</v>
      </c>
      <c r="O618" s="221">
        <f t="shared" si="160"/>
        <v>890305681</v>
      </c>
      <c r="P618" s="239">
        <f t="shared" si="169"/>
        <v>890306</v>
      </c>
    </row>
    <row r="619" spans="1:19" ht="11.25">
      <c r="A619" s="194">
        <v>560600</v>
      </c>
      <c r="B619" s="124" t="s">
        <v>1804</v>
      </c>
      <c r="C619" s="220">
        <f aca="true" t="shared" si="170" ref="C619:M619">SUM(C620:C621)</f>
        <v>0</v>
      </c>
      <c r="D619" s="220">
        <f t="shared" si="170"/>
        <v>0</v>
      </c>
      <c r="E619" s="220">
        <f t="shared" si="170"/>
        <v>-1430785165</v>
      </c>
      <c r="F619" s="220">
        <f t="shared" si="170"/>
        <v>0</v>
      </c>
      <c r="G619" s="220">
        <f t="shared" si="170"/>
        <v>0</v>
      </c>
      <c r="H619" s="220">
        <f t="shared" si="170"/>
        <v>0</v>
      </c>
      <c r="I619" s="220">
        <f t="shared" si="170"/>
        <v>0</v>
      </c>
      <c r="J619" s="220">
        <f t="shared" si="170"/>
        <v>0</v>
      </c>
      <c r="K619" s="220">
        <f t="shared" si="170"/>
        <v>0</v>
      </c>
      <c r="L619" s="220">
        <f t="shared" si="170"/>
        <v>0</v>
      </c>
      <c r="M619" s="220">
        <f t="shared" si="170"/>
        <v>0</v>
      </c>
      <c r="N619" s="221">
        <f t="shared" si="160"/>
        <v>0</v>
      </c>
      <c r="O619" s="221">
        <f t="shared" si="160"/>
        <v>0</v>
      </c>
      <c r="P619" s="238">
        <f>SUM(P620:P621)</f>
        <v>0</v>
      </c>
      <c r="S619" s="164"/>
    </row>
    <row r="620" spans="1:16" ht="11.25">
      <c r="A620" s="195">
        <v>560601</v>
      </c>
      <c r="B620" s="125" t="s">
        <v>1798</v>
      </c>
      <c r="C620" s="184">
        <v>0</v>
      </c>
      <c r="D620" s="184">
        <v>0</v>
      </c>
      <c r="E620" s="229">
        <v>-2897100</v>
      </c>
      <c r="F620" s="224"/>
      <c r="G620" s="224"/>
      <c r="H620" s="224"/>
      <c r="I620" s="224"/>
      <c r="J620" s="224"/>
      <c r="K620" s="224"/>
      <c r="L620" s="223">
        <v>0</v>
      </c>
      <c r="M620" s="223">
        <v>0</v>
      </c>
      <c r="N620" s="221">
        <f t="shared" si="160"/>
        <v>0</v>
      </c>
      <c r="O620" s="221">
        <f t="shared" si="160"/>
        <v>0</v>
      </c>
      <c r="P620" s="238">
        <f>+C620+L620-M620</f>
        <v>0</v>
      </c>
    </row>
    <row r="621" spans="1:16" ht="11.25">
      <c r="A621" s="195">
        <v>560605</v>
      </c>
      <c r="B621" s="125" t="s">
        <v>1799</v>
      </c>
      <c r="C621" s="184">
        <v>0</v>
      </c>
      <c r="D621" s="184">
        <v>0</v>
      </c>
      <c r="E621" s="229">
        <v>-1427888065</v>
      </c>
      <c r="F621" s="224"/>
      <c r="G621" s="224"/>
      <c r="H621" s="224"/>
      <c r="I621" s="224"/>
      <c r="J621" s="224"/>
      <c r="K621" s="224"/>
      <c r="L621" s="223">
        <v>0</v>
      </c>
      <c r="M621" s="223">
        <v>0</v>
      </c>
      <c r="N621" s="221">
        <f t="shared" si="160"/>
        <v>0</v>
      </c>
      <c r="O621" s="221">
        <f t="shared" si="160"/>
        <v>0</v>
      </c>
      <c r="P621" s="238">
        <f>+C621+L621-M621</f>
        <v>0</v>
      </c>
    </row>
    <row r="622" spans="1:16" ht="11.25">
      <c r="A622" s="194">
        <v>5607</v>
      </c>
      <c r="B622" s="124"/>
      <c r="C622" s="220">
        <f aca="true" t="shared" si="171" ref="C622:M622">C623</f>
        <v>0</v>
      </c>
      <c r="D622" s="220">
        <f t="shared" si="171"/>
        <v>0</v>
      </c>
      <c r="E622" s="220">
        <f t="shared" si="171"/>
        <v>0</v>
      </c>
      <c r="F622" s="220">
        <f t="shared" si="171"/>
        <v>0</v>
      </c>
      <c r="G622" s="220">
        <f t="shared" si="171"/>
        <v>0</v>
      </c>
      <c r="H622" s="220">
        <f t="shared" si="171"/>
        <v>0</v>
      </c>
      <c r="I622" s="220">
        <f t="shared" si="171"/>
        <v>0</v>
      </c>
      <c r="J622" s="220">
        <f t="shared" si="171"/>
        <v>144000000</v>
      </c>
      <c r="K622" s="220">
        <f t="shared" si="171"/>
        <v>144000000</v>
      </c>
      <c r="L622" s="220">
        <f t="shared" si="171"/>
        <v>76226</v>
      </c>
      <c r="M622" s="220">
        <f t="shared" si="171"/>
        <v>76226</v>
      </c>
      <c r="N622" s="232"/>
      <c r="O622" s="232"/>
      <c r="P622" s="238">
        <f>P623</f>
        <v>0</v>
      </c>
    </row>
    <row r="623" spans="1:16" ht="11.25">
      <c r="A623" s="195">
        <v>560705</v>
      </c>
      <c r="B623" s="125"/>
      <c r="C623" s="184"/>
      <c r="D623" s="184"/>
      <c r="E623" s="229"/>
      <c r="F623" s="224"/>
      <c r="G623" s="224"/>
      <c r="H623" s="224"/>
      <c r="I623" s="224"/>
      <c r="J623" s="224">
        <v>144000000</v>
      </c>
      <c r="K623" s="224">
        <v>144000000</v>
      </c>
      <c r="L623" s="223">
        <f>144000-67774</f>
        <v>76226</v>
      </c>
      <c r="M623" s="223">
        <f>144000-67774</f>
        <v>76226</v>
      </c>
      <c r="N623" s="221">
        <f>+F623+H623+J623</f>
        <v>144000000</v>
      </c>
      <c r="O623" s="221">
        <f>+G623+I623+K623</f>
        <v>144000000</v>
      </c>
      <c r="P623" s="238">
        <f>+C623+L623-M623</f>
        <v>0</v>
      </c>
    </row>
    <row r="624" spans="1:19" ht="11.25">
      <c r="A624" s="194">
        <v>5611</v>
      </c>
      <c r="B624" s="124"/>
      <c r="C624" s="220">
        <f aca="true" t="shared" si="172" ref="C624:M624">C625</f>
        <v>0</v>
      </c>
      <c r="D624" s="220">
        <f t="shared" si="172"/>
        <v>0</v>
      </c>
      <c r="E624" s="220">
        <f t="shared" si="172"/>
        <v>0</v>
      </c>
      <c r="F624" s="220">
        <f t="shared" si="172"/>
        <v>0</v>
      </c>
      <c r="G624" s="220">
        <f t="shared" si="172"/>
        <v>0</v>
      </c>
      <c r="H624" s="220">
        <f t="shared" si="172"/>
        <v>0</v>
      </c>
      <c r="I624" s="220">
        <f t="shared" si="172"/>
        <v>0</v>
      </c>
      <c r="J624" s="220">
        <f t="shared" si="172"/>
        <v>4601800</v>
      </c>
      <c r="K624" s="220">
        <f t="shared" si="172"/>
        <v>4601800</v>
      </c>
      <c r="L624" s="220">
        <f t="shared" si="172"/>
        <v>4602</v>
      </c>
      <c r="M624" s="220">
        <f t="shared" si="172"/>
        <v>4602</v>
      </c>
      <c r="N624" s="232"/>
      <c r="O624" s="232"/>
      <c r="P624" s="238">
        <f>P625</f>
        <v>0</v>
      </c>
      <c r="S624" s="164"/>
    </row>
    <row r="625" spans="1:16" ht="11.25">
      <c r="A625" s="195">
        <v>561105</v>
      </c>
      <c r="B625" s="125"/>
      <c r="C625" s="184"/>
      <c r="D625" s="184"/>
      <c r="E625" s="229"/>
      <c r="F625" s="224"/>
      <c r="G625" s="224"/>
      <c r="H625" s="224"/>
      <c r="I625" s="224"/>
      <c r="J625" s="224">
        <v>4601800</v>
      </c>
      <c r="K625" s="224">
        <v>4601800</v>
      </c>
      <c r="L625" s="223">
        <v>4602</v>
      </c>
      <c r="M625" s="223">
        <v>4602</v>
      </c>
      <c r="N625" s="221">
        <f aca="true" t="shared" si="173" ref="N625:O688">+F625+H625+J625</f>
        <v>4601800</v>
      </c>
      <c r="O625" s="221">
        <f t="shared" si="173"/>
        <v>4601800</v>
      </c>
      <c r="P625" s="238">
        <f>+C625+L625-M625</f>
        <v>0</v>
      </c>
    </row>
    <row r="626" spans="1:16" ht="11.25">
      <c r="A626" s="194">
        <v>570000</v>
      </c>
      <c r="B626" s="124" t="s">
        <v>1614</v>
      </c>
      <c r="C626" s="220">
        <f aca="true" t="shared" si="174" ref="C626:M626">C627+C634+C636+C638</f>
        <v>26324027</v>
      </c>
      <c r="D626" s="220">
        <f t="shared" si="174"/>
        <v>0</v>
      </c>
      <c r="E626" s="220">
        <f t="shared" si="174"/>
        <v>157685309.82</v>
      </c>
      <c r="F626" s="220">
        <f t="shared" si="174"/>
        <v>78350245.46</v>
      </c>
      <c r="G626" s="220">
        <f t="shared" si="174"/>
        <v>0</v>
      </c>
      <c r="H626" s="220">
        <f t="shared" si="174"/>
        <v>107817701.74</v>
      </c>
      <c r="I626" s="220">
        <f t="shared" si="174"/>
        <v>0</v>
      </c>
      <c r="J626" s="220">
        <f t="shared" si="174"/>
        <v>13913933648.619999</v>
      </c>
      <c r="K626" s="220">
        <f t="shared" si="174"/>
        <v>40424127949.22</v>
      </c>
      <c r="L626" s="220">
        <f t="shared" si="174"/>
        <v>14100102</v>
      </c>
      <c r="M626" s="220">
        <f t="shared" si="174"/>
        <v>11626146</v>
      </c>
      <c r="N626" s="221">
        <f t="shared" si="173"/>
        <v>14100101595.82</v>
      </c>
      <c r="O626" s="221">
        <f t="shared" si="173"/>
        <v>40424127949.22</v>
      </c>
      <c r="P626" s="238">
        <f>P627+P634+P636+P638</f>
        <v>28797983</v>
      </c>
    </row>
    <row r="627" spans="1:16" ht="11.25">
      <c r="A627" s="194">
        <v>570500</v>
      </c>
      <c r="B627" s="124" t="s">
        <v>1805</v>
      </c>
      <c r="C627" s="220">
        <f aca="true" t="shared" si="175" ref="C627:M627">SUM(C628:C633)</f>
        <v>0</v>
      </c>
      <c r="D627" s="220">
        <f t="shared" si="175"/>
        <v>0</v>
      </c>
      <c r="E627" s="220">
        <f t="shared" si="175"/>
        <v>0</v>
      </c>
      <c r="F627" s="220">
        <f t="shared" si="175"/>
        <v>0</v>
      </c>
      <c r="G627" s="220">
        <f t="shared" si="175"/>
        <v>0</v>
      </c>
      <c r="H627" s="220">
        <f t="shared" si="175"/>
        <v>0</v>
      </c>
      <c r="I627" s="220">
        <f t="shared" si="175"/>
        <v>0</v>
      </c>
      <c r="J627" s="220">
        <f t="shared" si="175"/>
        <v>0</v>
      </c>
      <c r="K627" s="220">
        <f t="shared" si="175"/>
        <v>0</v>
      </c>
      <c r="L627" s="220">
        <f t="shared" si="175"/>
        <v>0</v>
      </c>
      <c r="M627" s="220">
        <f t="shared" si="175"/>
        <v>0</v>
      </c>
      <c r="N627" s="221">
        <f t="shared" si="173"/>
        <v>0</v>
      </c>
      <c r="O627" s="221">
        <f t="shared" si="173"/>
        <v>0</v>
      </c>
      <c r="P627" s="238">
        <f>SUM(P628:P633)</f>
        <v>0</v>
      </c>
    </row>
    <row r="628" spans="1:16" ht="11.25">
      <c r="A628" s="195">
        <v>570501</v>
      </c>
      <c r="B628" s="125" t="s">
        <v>1806</v>
      </c>
      <c r="C628" s="184">
        <v>0</v>
      </c>
      <c r="D628" s="125">
        <v>0</v>
      </c>
      <c r="E628" s="229">
        <v>0</v>
      </c>
      <c r="F628" s="224"/>
      <c r="G628" s="224"/>
      <c r="H628" s="224"/>
      <c r="I628" s="224"/>
      <c r="J628" s="224"/>
      <c r="K628" s="224"/>
      <c r="L628" s="223">
        <v>0</v>
      </c>
      <c r="M628" s="223">
        <v>0</v>
      </c>
      <c r="N628" s="221">
        <f t="shared" si="173"/>
        <v>0</v>
      </c>
      <c r="O628" s="221">
        <f t="shared" si="173"/>
        <v>0</v>
      </c>
      <c r="P628" s="238">
        <f aca="true" t="shared" si="176" ref="P628:P633">+C628+L628-M628</f>
        <v>0</v>
      </c>
    </row>
    <row r="629" spans="1:16" ht="11.25">
      <c r="A629" s="195">
        <v>570502</v>
      </c>
      <c r="B629" s="125" t="s">
        <v>1617</v>
      </c>
      <c r="C629" s="184">
        <v>0</v>
      </c>
      <c r="D629" s="125">
        <v>0</v>
      </c>
      <c r="E629" s="229">
        <v>0</v>
      </c>
      <c r="F629" s="224"/>
      <c r="G629" s="224"/>
      <c r="H629" s="224"/>
      <c r="I629" s="224"/>
      <c r="J629" s="224"/>
      <c r="K629" s="224"/>
      <c r="L629" s="223">
        <v>0</v>
      </c>
      <c r="M629" s="223">
        <v>0</v>
      </c>
      <c r="N629" s="221">
        <f t="shared" si="173"/>
        <v>0</v>
      </c>
      <c r="O629" s="221">
        <f t="shared" si="173"/>
        <v>0</v>
      </c>
      <c r="P629" s="238">
        <f t="shared" si="176"/>
        <v>0</v>
      </c>
    </row>
    <row r="630" spans="1:16" ht="11.25">
      <c r="A630" s="195">
        <v>570503</v>
      </c>
      <c r="B630" s="125" t="s">
        <v>1807</v>
      </c>
      <c r="C630" s="184">
        <v>0</v>
      </c>
      <c r="D630" s="125">
        <v>0</v>
      </c>
      <c r="E630" s="229">
        <v>0</v>
      </c>
      <c r="F630" s="224"/>
      <c r="G630" s="224"/>
      <c r="H630" s="224"/>
      <c r="I630" s="224"/>
      <c r="J630" s="224"/>
      <c r="K630" s="224"/>
      <c r="L630" s="223">
        <v>0</v>
      </c>
      <c r="M630" s="223">
        <v>0</v>
      </c>
      <c r="N630" s="221">
        <f t="shared" si="173"/>
        <v>0</v>
      </c>
      <c r="O630" s="221">
        <f t="shared" si="173"/>
        <v>0</v>
      </c>
      <c r="P630" s="238">
        <f t="shared" si="176"/>
        <v>0</v>
      </c>
    </row>
    <row r="631" spans="1:16" ht="11.25">
      <c r="A631" s="195">
        <v>570505</v>
      </c>
      <c r="B631" s="125" t="s">
        <v>1618</v>
      </c>
      <c r="C631" s="184">
        <v>0</v>
      </c>
      <c r="D631" s="125">
        <v>0</v>
      </c>
      <c r="E631" s="229">
        <v>0</v>
      </c>
      <c r="F631" s="224"/>
      <c r="G631" s="224"/>
      <c r="H631" s="224"/>
      <c r="I631" s="224"/>
      <c r="J631" s="224"/>
      <c r="K631" s="224"/>
      <c r="L631" s="223">
        <v>0</v>
      </c>
      <c r="M631" s="223">
        <v>0</v>
      </c>
      <c r="N631" s="221">
        <f t="shared" si="173"/>
        <v>0</v>
      </c>
      <c r="O631" s="221">
        <f t="shared" si="173"/>
        <v>0</v>
      </c>
      <c r="P631" s="238">
        <f t="shared" si="176"/>
        <v>0</v>
      </c>
    </row>
    <row r="632" spans="1:16" ht="11.25">
      <c r="A632" s="195">
        <v>570506</v>
      </c>
      <c r="B632" s="125" t="s">
        <v>1808</v>
      </c>
      <c r="C632" s="184">
        <v>0</v>
      </c>
      <c r="D632" s="125">
        <v>0</v>
      </c>
      <c r="E632" s="229">
        <v>0</v>
      </c>
      <c r="F632" s="224"/>
      <c r="G632" s="224"/>
      <c r="H632" s="224"/>
      <c r="I632" s="224"/>
      <c r="J632" s="224"/>
      <c r="K632" s="224"/>
      <c r="L632" s="223">
        <v>0</v>
      </c>
      <c r="M632" s="223">
        <v>0</v>
      </c>
      <c r="N632" s="221">
        <f t="shared" si="173"/>
        <v>0</v>
      </c>
      <c r="O632" s="221">
        <f t="shared" si="173"/>
        <v>0</v>
      </c>
      <c r="P632" s="238">
        <f t="shared" si="176"/>
        <v>0</v>
      </c>
    </row>
    <row r="633" spans="1:16" ht="11.25">
      <c r="A633" s="195">
        <v>570590</v>
      </c>
      <c r="B633" s="125" t="s">
        <v>1809</v>
      </c>
      <c r="C633" s="184">
        <v>0</v>
      </c>
      <c r="D633" s="125">
        <v>0</v>
      </c>
      <c r="E633" s="229">
        <v>0</v>
      </c>
      <c r="F633" s="224"/>
      <c r="G633" s="224"/>
      <c r="H633" s="224"/>
      <c r="I633" s="224"/>
      <c r="J633" s="224"/>
      <c r="K633" s="224"/>
      <c r="L633" s="223">
        <v>0</v>
      </c>
      <c r="M633" s="223">
        <v>0</v>
      </c>
      <c r="N633" s="221">
        <f t="shared" si="173"/>
        <v>0</v>
      </c>
      <c r="O633" s="221">
        <f t="shared" si="173"/>
        <v>0</v>
      </c>
      <c r="P633" s="238">
        <f t="shared" si="176"/>
        <v>0</v>
      </c>
    </row>
    <row r="634" spans="1:16" ht="22.5">
      <c r="A634" s="194">
        <v>572000</v>
      </c>
      <c r="B634" s="124" t="s">
        <v>1810</v>
      </c>
      <c r="C634" s="220">
        <f aca="true" t="shared" si="177" ref="C634:M634">SUM(C635)</f>
        <v>26324027</v>
      </c>
      <c r="D634" s="220">
        <f t="shared" si="177"/>
        <v>0</v>
      </c>
      <c r="E634" s="220">
        <f t="shared" si="177"/>
        <v>157685309.82</v>
      </c>
      <c r="F634" s="220">
        <f t="shared" si="177"/>
        <v>78350245.46</v>
      </c>
      <c r="G634" s="220">
        <f t="shared" si="177"/>
        <v>0</v>
      </c>
      <c r="H634" s="220">
        <f t="shared" si="177"/>
        <v>107817701.74</v>
      </c>
      <c r="I634" s="220">
        <f t="shared" si="177"/>
        <v>0</v>
      </c>
      <c r="J634" s="220">
        <f t="shared" si="177"/>
        <v>13913933648.619999</v>
      </c>
      <c r="K634" s="220">
        <f t="shared" si="177"/>
        <v>40424127949.22</v>
      </c>
      <c r="L634" s="220">
        <f t="shared" si="177"/>
        <v>14100102</v>
      </c>
      <c r="M634" s="220">
        <f t="shared" si="177"/>
        <v>11626146</v>
      </c>
      <c r="N634" s="221">
        <f t="shared" si="173"/>
        <v>14100101595.82</v>
      </c>
      <c r="O634" s="221">
        <f t="shared" si="173"/>
        <v>40424127949.22</v>
      </c>
      <c r="P634" s="238">
        <f>SUM(P635)</f>
        <v>28797983</v>
      </c>
    </row>
    <row r="635" spans="1:16" ht="11.25">
      <c r="A635" s="195">
        <v>572080</v>
      </c>
      <c r="B635" s="125" t="s">
        <v>1811</v>
      </c>
      <c r="C635" s="184">
        <v>26324027</v>
      </c>
      <c r="D635" s="125">
        <v>0</v>
      </c>
      <c r="E635" s="229">
        <v>157685309.82</v>
      </c>
      <c r="F635" s="224">
        <v>78350245.46</v>
      </c>
      <c r="G635" s="224">
        <v>0</v>
      </c>
      <c r="H635" s="224">
        <v>107817701.74</v>
      </c>
      <c r="I635" s="224">
        <v>0</v>
      </c>
      <c r="J635" s="224">
        <v>13913933648.619999</v>
      </c>
      <c r="K635" s="224">
        <v>40424127949.22</v>
      </c>
      <c r="L635" s="223">
        <v>14100102</v>
      </c>
      <c r="M635" s="223">
        <v>11626146</v>
      </c>
      <c r="N635" s="221">
        <f t="shared" si="173"/>
        <v>14100101595.82</v>
      </c>
      <c r="O635" s="221">
        <f t="shared" si="173"/>
        <v>40424127949.22</v>
      </c>
      <c r="P635" s="239">
        <f>+C635+L635-M635</f>
        <v>28797983</v>
      </c>
    </row>
    <row r="636" spans="1:16" ht="22.5">
      <c r="A636" s="194">
        <v>572200</v>
      </c>
      <c r="B636" s="124" t="s">
        <v>1812</v>
      </c>
      <c r="C636" s="220">
        <v>0</v>
      </c>
      <c r="D636" s="220">
        <v>0</v>
      </c>
      <c r="E636" s="220">
        <v>0</v>
      </c>
      <c r="F636" s="220">
        <v>0</v>
      </c>
      <c r="G636" s="220">
        <v>0</v>
      </c>
      <c r="H636" s="220">
        <v>0</v>
      </c>
      <c r="I636" s="220">
        <v>0</v>
      </c>
      <c r="J636" s="220">
        <v>0</v>
      </c>
      <c r="K636" s="220">
        <v>0</v>
      </c>
      <c r="L636" s="220">
        <v>0</v>
      </c>
      <c r="M636" s="220">
        <v>0</v>
      </c>
      <c r="N636" s="221">
        <f t="shared" si="173"/>
        <v>0</v>
      </c>
      <c r="O636" s="221">
        <f t="shared" si="173"/>
        <v>0</v>
      </c>
      <c r="P636" s="238">
        <v>0</v>
      </c>
    </row>
    <row r="637" spans="1:16" ht="11.25">
      <c r="A637" s="195">
        <v>572201</v>
      </c>
      <c r="B637" s="125" t="s">
        <v>1625</v>
      </c>
      <c r="C637" s="184">
        <v>0</v>
      </c>
      <c r="D637" s="125">
        <v>0</v>
      </c>
      <c r="E637" s="229">
        <v>0</v>
      </c>
      <c r="F637" s="224"/>
      <c r="G637" s="224"/>
      <c r="H637" s="224"/>
      <c r="I637" s="224"/>
      <c r="J637" s="224"/>
      <c r="K637" s="224"/>
      <c r="L637" s="223">
        <v>0</v>
      </c>
      <c r="M637" s="223">
        <v>0</v>
      </c>
      <c r="N637" s="221">
        <f t="shared" si="173"/>
        <v>0</v>
      </c>
      <c r="O637" s="221">
        <f t="shared" si="173"/>
        <v>0</v>
      </c>
      <c r="P637" s="238">
        <f>+C637+L637-M637</f>
        <v>0</v>
      </c>
    </row>
    <row r="638" spans="1:16" ht="11.25">
      <c r="A638" s="194">
        <v>572500</v>
      </c>
      <c r="B638" s="124" t="s">
        <v>1813</v>
      </c>
      <c r="C638" s="220">
        <f aca="true" t="shared" si="178" ref="C638:M638">C639</f>
        <v>0</v>
      </c>
      <c r="D638" s="220">
        <f t="shared" si="178"/>
        <v>0</v>
      </c>
      <c r="E638" s="220">
        <f t="shared" si="178"/>
        <v>0</v>
      </c>
      <c r="F638" s="220">
        <f t="shared" si="178"/>
        <v>0</v>
      </c>
      <c r="G638" s="220">
        <f t="shared" si="178"/>
        <v>0</v>
      </c>
      <c r="H638" s="220">
        <f t="shared" si="178"/>
        <v>0</v>
      </c>
      <c r="I638" s="220">
        <f t="shared" si="178"/>
        <v>0</v>
      </c>
      <c r="J638" s="220">
        <f t="shared" si="178"/>
        <v>0</v>
      </c>
      <c r="K638" s="220">
        <f t="shared" si="178"/>
        <v>0</v>
      </c>
      <c r="L638" s="220">
        <f t="shared" si="178"/>
        <v>0</v>
      </c>
      <c r="M638" s="220">
        <f t="shared" si="178"/>
        <v>0</v>
      </c>
      <c r="N638" s="221">
        <f t="shared" si="173"/>
        <v>0</v>
      </c>
      <c r="O638" s="221">
        <f t="shared" si="173"/>
        <v>0</v>
      </c>
      <c r="P638" s="238">
        <f>P639</f>
        <v>0</v>
      </c>
    </row>
    <row r="639" spans="1:16" ht="11.25">
      <c r="A639" s="195">
        <v>572501</v>
      </c>
      <c r="B639" s="125" t="s">
        <v>1814</v>
      </c>
      <c r="C639" s="184">
        <v>0</v>
      </c>
      <c r="D639" s="125">
        <v>0</v>
      </c>
      <c r="E639" s="229">
        <v>0</v>
      </c>
      <c r="F639" s="224"/>
      <c r="G639" s="224"/>
      <c r="H639" s="224"/>
      <c r="I639" s="224"/>
      <c r="J639" s="224"/>
      <c r="K639" s="224"/>
      <c r="L639" s="223">
        <v>0</v>
      </c>
      <c r="M639" s="223">
        <v>0</v>
      </c>
      <c r="N639" s="221">
        <f t="shared" si="173"/>
        <v>0</v>
      </c>
      <c r="O639" s="221">
        <f t="shared" si="173"/>
        <v>0</v>
      </c>
      <c r="P639" s="238">
        <f>+C639+L639-M639</f>
        <v>0</v>
      </c>
    </row>
    <row r="640" spans="1:16" ht="11.25">
      <c r="A640" s="194">
        <v>580000</v>
      </c>
      <c r="B640" s="124" t="s">
        <v>1815</v>
      </c>
      <c r="C640" s="220">
        <f aca="true" t="shared" si="179" ref="C640:M640">C641+C644+C647+C651</f>
        <v>238255591</v>
      </c>
      <c r="D640" s="220">
        <f t="shared" si="179"/>
        <v>0</v>
      </c>
      <c r="E640" s="220">
        <f t="shared" si="179"/>
        <v>115729116928.40001</v>
      </c>
      <c r="F640" s="220">
        <f t="shared" si="179"/>
        <v>11685273185</v>
      </c>
      <c r="G640" s="220">
        <f t="shared" si="179"/>
        <v>57093.8</v>
      </c>
      <c r="H640" s="220">
        <f t="shared" si="179"/>
        <v>887773.46</v>
      </c>
      <c r="I640" s="220">
        <f t="shared" si="179"/>
        <v>165006</v>
      </c>
      <c r="J640" s="220">
        <f t="shared" si="179"/>
        <v>179427447423</v>
      </c>
      <c r="K640" s="220">
        <f t="shared" si="179"/>
        <v>429368977740.51</v>
      </c>
      <c r="L640" s="220">
        <f t="shared" si="179"/>
        <v>191113609</v>
      </c>
      <c r="M640" s="220">
        <f t="shared" si="179"/>
        <v>19642667</v>
      </c>
      <c r="N640" s="221">
        <f t="shared" si="173"/>
        <v>191113608381.46</v>
      </c>
      <c r="O640" s="221">
        <f t="shared" si="173"/>
        <v>429369199840.31</v>
      </c>
      <c r="P640" s="238">
        <f>P641+P644+P647+P651</f>
        <v>409726533</v>
      </c>
    </row>
    <row r="641" spans="1:16" ht="11.25">
      <c r="A641" s="194">
        <v>580100</v>
      </c>
      <c r="B641" s="124" t="s">
        <v>1816</v>
      </c>
      <c r="C641" s="220">
        <f aca="true" t="shared" si="180" ref="C641:M641">SUM(C642:C643)</f>
        <v>0</v>
      </c>
      <c r="D641" s="220">
        <f t="shared" si="180"/>
        <v>0</v>
      </c>
      <c r="E641" s="220">
        <f t="shared" si="180"/>
        <v>-821838</v>
      </c>
      <c r="F641" s="220">
        <f t="shared" si="180"/>
        <v>0</v>
      </c>
      <c r="G641" s="220">
        <f t="shared" si="180"/>
        <v>0</v>
      </c>
      <c r="H641" s="220">
        <f t="shared" si="180"/>
        <v>0</v>
      </c>
      <c r="I641" s="220">
        <f t="shared" si="180"/>
        <v>0</v>
      </c>
      <c r="J641" s="220">
        <f t="shared" si="180"/>
        <v>0</v>
      </c>
      <c r="K641" s="220">
        <f t="shared" si="180"/>
        <v>0</v>
      </c>
      <c r="L641" s="220">
        <f t="shared" si="180"/>
        <v>0</v>
      </c>
      <c r="M641" s="220">
        <f t="shared" si="180"/>
        <v>0</v>
      </c>
      <c r="N641" s="221">
        <f t="shared" si="173"/>
        <v>0</v>
      </c>
      <c r="O641" s="221">
        <f t="shared" si="173"/>
        <v>0</v>
      </c>
      <c r="P641" s="238">
        <f>SUM(P642:P643)</f>
        <v>0</v>
      </c>
    </row>
    <row r="642" spans="1:16" ht="11.25">
      <c r="A642" s="195">
        <v>580107</v>
      </c>
      <c r="B642" s="125" t="s">
        <v>1817</v>
      </c>
      <c r="C642" s="184">
        <v>0</v>
      </c>
      <c r="D642" s="125">
        <v>0</v>
      </c>
      <c r="E642" s="229">
        <v>0</v>
      </c>
      <c r="F642" s="224"/>
      <c r="G642" s="224"/>
      <c r="H642" s="224"/>
      <c r="I642" s="224"/>
      <c r="J642" s="224"/>
      <c r="K642" s="224"/>
      <c r="L642" s="223">
        <v>0</v>
      </c>
      <c r="M642" s="223">
        <v>0</v>
      </c>
      <c r="N642" s="221">
        <f t="shared" si="173"/>
        <v>0</v>
      </c>
      <c r="O642" s="221">
        <f t="shared" si="173"/>
        <v>0</v>
      </c>
      <c r="P642" s="238">
        <f>+C642+L642-M642</f>
        <v>0</v>
      </c>
    </row>
    <row r="643" spans="1:16" ht="11.25">
      <c r="A643" s="195">
        <v>580110</v>
      </c>
      <c r="B643" s="125" t="s">
        <v>1818</v>
      </c>
      <c r="C643" s="184">
        <v>0</v>
      </c>
      <c r="D643" s="125">
        <v>0</v>
      </c>
      <c r="E643" s="229">
        <v>-821838</v>
      </c>
      <c r="F643" s="224"/>
      <c r="G643" s="224"/>
      <c r="H643" s="224"/>
      <c r="I643" s="224"/>
      <c r="J643" s="224"/>
      <c r="K643" s="224"/>
      <c r="L643" s="223">
        <v>0</v>
      </c>
      <c r="M643" s="223">
        <v>0</v>
      </c>
      <c r="N643" s="221">
        <f t="shared" si="173"/>
        <v>0</v>
      </c>
      <c r="O643" s="221">
        <f t="shared" si="173"/>
        <v>0</v>
      </c>
      <c r="P643" s="238">
        <f>+C643+L643-M643</f>
        <v>0</v>
      </c>
    </row>
    <row r="644" spans="1:16" ht="11.25">
      <c r="A644" s="194">
        <v>580500</v>
      </c>
      <c r="B644" s="124" t="s">
        <v>1632</v>
      </c>
      <c r="C644" s="220">
        <f aca="true" t="shared" si="181" ref="C644:M644">SUM(C645:C646)</f>
        <v>24075</v>
      </c>
      <c r="D644" s="220">
        <f t="shared" si="181"/>
        <v>0</v>
      </c>
      <c r="E644" s="220">
        <f t="shared" si="181"/>
        <v>19549339.759999998</v>
      </c>
      <c r="F644" s="220">
        <f t="shared" si="181"/>
        <v>224414.07</v>
      </c>
      <c r="G644" s="220">
        <f t="shared" si="181"/>
        <v>0</v>
      </c>
      <c r="H644" s="220">
        <f t="shared" si="181"/>
        <v>886192.46</v>
      </c>
      <c r="I644" s="220">
        <f t="shared" si="181"/>
        <v>164720</v>
      </c>
      <c r="J644" s="220">
        <f t="shared" si="181"/>
        <v>2977897.58</v>
      </c>
      <c r="K644" s="220">
        <f t="shared" si="181"/>
        <v>27998433.11</v>
      </c>
      <c r="L644" s="220">
        <f t="shared" si="181"/>
        <v>4089</v>
      </c>
      <c r="M644" s="220">
        <f t="shared" si="181"/>
        <v>8582</v>
      </c>
      <c r="N644" s="221">
        <f t="shared" si="173"/>
        <v>4088504.1100000003</v>
      </c>
      <c r="O644" s="221">
        <f t="shared" si="173"/>
        <v>28163153.11</v>
      </c>
      <c r="P644" s="238">
        <f>SUM(P645:P646)</f>
        <v>19582</v>
      </c>
    </row>
    <row r="645" spans="1:16" ht="11.25">
      <c r="A645" s="195">
        <v>580536</v>
      </c>
      <c r="B645" s="125" t="s">
        <v>1819</v>
      </c>
      <c r="C645" s="184">
        <v>24075</v>
      </c>
      <c r="D645" s="125">
        <v>0</v>
      </c>
      <c r="E645" s="229">
        <v>19549339.759999998</v>
      </c>
      <c r="F645" s="224">
        <v>224414.07</v>
      </c>
      <c r="G645" s="224">
        <v>0</v>
      </c>
      <c r="H645" s="224">
        <v>886192.46</v>
      </c>
      <c r="I645" s="224">
        <v>164720</v>
      </c>
      <c r="J645" s="224">
        <v>2977897.58</v>
      </c>
      <c r="K645" s="224">
        <v>27998433.11</v>
      </c>
      <c r="L645" s="223">
        <v>4089</v>
      </c>
      <c r="M645" s="223">
        <v>8582</v>
      </c>
      <c r="N645" s="221">
        <f t="shared" si="173"/>
        <v>4088504.1100000003</v>
      </c>
      <c r="O645" s="221">
        <f t="shared" si="173"/>
        <v>28163153.11</v>
      </c>
      <c r="P645" s="239">
        <f>+C645+L645-M645</f>
        <v>19582</v>
      </c>
    </row>
    <row r="646" spans="1:16" ht="11.25">
      <c r="A646" s="195">
        <v>580590</v>
      </c>
      <c r="B646" s="125" t="s">
        <v>1820</v>
      </c>
      <c r="C646" s="184">
        <v>0</v>
      </c>
      <c r="D646" s="125">
        <v>0</v>
      </c>
      <c r="E646" s="229">
        <v>0</v>
      </c>
      <c r="F646" s="224"/>
      <c r="G646" s="224"/>
      <c r="H646" s="224"/>
      <c r="I646" s="224"/>
      <c r="J646" s="224"/>
      <c r="K646" s="224"/>
      <c r="L646" s="223">
        <v>0</v>
      </c>
      <c r="M646" s="223">
        <v>0</v>
      </c>
      <c r="N646" s="221">
        <f t="shared" si="173"/>
        <v>0</v>
      </c>
      <c r="O646" s="221">
        <f t="shared" si="173"/>
        <v>0</v>
      </c>
      <c r="P646" s="238">
        <f>+C646+L646-M646</f>
        <v>0</v>
      </c>
    </row>
    <row r="647" spans="1:16" ht="11.25">
      <c r="A647" s="194">
        <v>581000</v>
      </c>
      <c r="B647" s="124" t="s">
        <v>1642</v>
      </c>
      <c r="C647" s="220">
        <f aca="true" t="shared" si="182" ref="C647:M647">SUM(C648:C650)</f>
        <v>389181</v>
      </c>
      <c r="D647" s="220">
        <f t="shared" si="182"/>
        <v>0</v>
      </c>
      <c r="E647" s="220">
        <f t="shared" si="182"/>
        <v>385125630.09</v>
      </c>
      <c r="F647" s="220">
        <f t="shared" si="182"/>
        <v>5018320</v>
      </c>
      <c r="G647" s="220">
        <f t="shared" si="182"/>
        <v>0</v>
      </c>
      <c r="H647" s="220">
        <f t="shared" si="182"/>
        <v>1581</v>
      </c>
      <c r="I647" s="220">
        <f t="shared" si="182"/>
        <v>286</v>
      </c>
      <c r="J647" s="220">
        <f t="shared" si="182"/>
        <v>721954490.0699999</v>
      </c>
      <c r="K647" s="220">
        <f t="shared" si="182"/>
        <v>1116155941.34</v>
      </c>
      <c r="L647" s="220">
        <f t="shared" si="182"/>
        <v>726974</v>
      </c>
      <c r="M647" s="220">
        <f t="shared" si="182"/>
        <v>110461</v>
      </c>
      <c r="N647" s="221">
        <f t="shared" si="173"/>
        <v>726974391.0699999</v>
      </c>
      <c r="O647" s="221">
        <f t="shared" si="173"/>
        <v>1116156227.34</v>
      </c>
      <c r="P647" s="238">
        <f>SUM(P648:P650)</f>
        <v>1005694</v>
      </c>
    </row>
    <row r="648" spans="1:16" ht="11.25">
      <c r="A648" s="195">
        <v>581003</v>
      </c>
      <c r="B648" s="125" t="s">
        <v>1821</v>
      </c>
      <c r="C648" s="184">
        <v>14</v>
      </c>
      <c r="D648" s="125">
        <v>0</v>
      </c>
      <c r="E648" s="229">
        <v>9150.84</v>
      </c>
      <c r="F648" s="224">
        <v>53994</v>
      </c>
      <c r="G648" s="224">
        <v>0</v>
      </c>
      <c r="H648" s="224">
        <v>1581</v>
      </c>
      <c r="I648" s="224">
        <v>286</v>
      </c>
      <c r="J648" s="224">
        <v>3786</v>
      </c>
      <c r="K648" s="224">
        <v>73334.02</v>
      </c>
      <c r="L648" s="223">
        <v>59</v>
      </c>
      <c r="M648" s="223"/>
      <c r="N648" s="221">
        <f t="shared" si="173"/>
        <v>59361</v>
      </c>
      <c r="O648" s="221">
        <f t="shared" si="173"/>
        <v>73620.02</v>
      </c>
      <c r="P648" s="239">
        <f>+C648+L648-M648</f>
        <v>73</v>
      </c>
    </row>
    <row r="649" spans="1:16" ht="11.25">
      <c r="A649" s="195">
        <v>581004</v>
      </c>
      <c r="B649" s="125" t="s">
        <v>1647</v>
      </c>
      <c r="C649" s="184">
        <v>280423</v>
      </c>
      <c r="D649" s="125">
        <v>0</v>
      </c>
      <c r="E649" s="229">
        <v>280423390.69</v>
      </c>
      <c r="F649" s="224">
        <v>4964326</v>
      </c>
      <c r="G649" s="224">
        <v>0</v>
      </c>
      <c r="H649" s="224">
        <v>0</v>
      </c>
      <c r="I649" s="224">
        <v>0</v>
      </c>
      <c r="J649" s="224">
        <v>714117143.56</v>
      </c>
      <c r="K649" s="224">
        <v>999504860.25</v>
      </c>
      <c r="L649" s="223">
        <v>719081</v>
      </c>
      <c r="M649" s="223"/>
      <c r="N649" s="221">
        <f t="shared" si="173"/>
        <v>719081469.56</v>
      </c>
      <c r="O649" s="221">
        <f t="shared" si="173"/>
        <v>999504860.25</v>
      </c>
      <c r="P649" s="239">
        <f>+C649+L649-M649</f>
        <v>999504</v>
      </c>
    </row>
    <row r="650" spans="1:16" ht="22.5">
      <c r="A650" s="195">
        <v>581033</v>
      </c>
      <c r="B650" s="125" t="s">
        <v>1822</v>
      </c>
      <c r="C650" s="184">
        <v>108744</v>
      </c>
      <c r="D650" s="125">
        <v>0</v>
      </c>
      <c r="E650" s="229">
        <v>104693088.56</v>
      </c>
      <c r="F650" s="224"/>
      <c r="G650" s="224"/>
      <c r="H650" s="224">
        <v>0</v>
      </c>
      <c r="I650" s="224">
        <v>0</v>
      </c>
      <c r="J650" s="224">
        <v>7833560.51</v>
      </c>
      <c r="K650" s="224">
        <v>116577747.07</v>
      </c>
      <c r="L650" s="223">
        <v>7834</v>
      </c>
      <c r="M650" s="223">
        <v>110461</v>
      </c>
      <c r="N650" s="221">
        <f t="shared" si="173"/>
        <v>7833560.51</v>
      </c>
      <c r="O650" s="221">
        <f t="shared" si="173"/>
        <v>116577747.07</v>
      </c>
      <c r="P650" s="239">
        <f>+C650+L650-M650</f>
        <v>6117</v>
      </c>
    </row>
    <row r="651" spans="1:16" ht="11.25">
      <c r="A651" s="194">
        <v>581500</v>
      </c>
      <c r="B651" s="124" t="s">
        <v>1651</v>
      </c>
      <c r="C651" s="220">
        <f aca="true" t="shared" si="183" ref="C651:M651">SUM(C652:C670)</f>
        <v>237842335</v>
      </c>
      <c r="D651" s="220">
        <f t="shared" si="183"/>
        <v>0</v>
      </c>
      <c r="E651" s="220">
        <f t="shared" si="183"/>
        <v>115325263796.55</v>
      </c>
      <c r="F651" s="220">
        <f t="shared" si="183"/>
        <v>11680030450.93</v>
      </c>
      <c r="G651" s="220">
        <f t="shared" si="183"/>
        <v>57093.8</v>
      </c>
      <c r="H651" s="220">
        <f t="shared" si="183"/>
        <v>0</v>
      </c>
      <c r="I651" s="220">
        <f t="shared" si="183"/>
        <v>0</v>
      </c>
      <c r="J651" s="220">
        <f t="shared" si="183"/>
        <v>178702515035.35</v>
      </c>
      <c r="K651" s="220">
        <f t="shared" si="183"/>
        <v>428224823366.06</v>
      </c>
      <c r="L651" s="220">
        <f t="shared" si="183"/>
        <v>190382546</v>
      </c>
      <c r="M651" s="220">
        <f t="shared" si="183"/>
        <v>19523624</v>
      </c>
      <c r="N651" s="221">
        <f t="shared" si="173"/>
        <v>190382545486.28</v>
      </c>
      <c r="O651" s="221">
        <f t="shared" si="173"/>
        <v>428224880459.86</v>
      </c>
      <c r="P651" s="238">
        <f>SUM(P652:P670)</f>
        <v>408701257</v>
      </c>
    </row>
    <row r="652" spans="1:16" ht="11.25">
      <c r="A652" s="195">
        <v>581506</v>
      </c>
      <c r="B652" s="125" t="s">
        <v>1798</v>
      </c>
      <c r="C652" s="184">
        <v>93375</v>
      </c>
      <c r="D652" s="125">
        <v>0</v>
      </c>
      <c r="E652" s="229">
        <v>88285126</v>
      </c>
      <c r="F652" s="224">
        <v>387145</v>
      </c>
      <c r="G652" s="224">
        <v>0</v>
      </c>
      <c r="H652" s="224">
        <v>0</v>
      </c>
      <c r="I652" s="224">
        <v>0</v>
      </c>
      <c r="J652" s="224">
        <v>8918368587.98</v>
      </c>
      <c r="K652" s="224">
        <v>9012131263.98</v>
      </c>
      <c r="L652" s="223">
        <v>8918756</v>
      </c>
      <c r="M652" s="223">
        <v>8918368</v>
      </c>
      <c r="N652" s="221">
        <f t="shared" si="173"/>
        <v>8918755732.98</v>
      </c>
      <c r="O652" s="221">
        <f t="shared" si="173"/>
        <v>9012131263.98</v>
      </c>
      <c r="P652" s="239">
        <f aca="true" t="shared" si="184" ref="P652:P670">+C652+L652-M652</f>
        <v>93763</v>
      </c>
    </row>
    <row r="653" spans="1:16" ht="11.25">
      <c r="A653" s="195">
        <v>581509</v>
      </c>
      <c r="B653" s="125" t="s">
        <v>1823</v>
      </c>
      <c r="C653" s="184">
        <v>0</v>
      </c>
      <c r="D653" s="125">
        <v>0</v>
      </c>
      <c r="E653" s="229">
        <v>0</v>
      </c>
      <c r="F653" s="224"/>
      <c r="G653" s="224"/>
      <c r="H653" s="224"/>
      <c r="I653" s="224"/>
      <c r="J653" s="224"/>
      <c r="K653" s="224"/>
      <c r="L653" s="223">
        <v>0</v>
      </c>
      <c r="M653" s="223">
        <v>0</v>
      </c>
      <c r="N653" s="221">
        <f t="shared" si="173"/>
        <v>0</v>
      </c>
      <c r="O653" s="221">
        <f t="shared" si="173"/>
        <v>0</v>
      </c>
      <c r="P653" s="238">
        <f t="shared" si="184"/>
        <v>0</v>
      </c>
    </row>
    <row r="654" spans="1:16" ht="11.25">
      <c r="A654" s="195">
        <v>581510</v>
      </c>
      <c r="B654" s="125" t="s">
        <v>1617</v>
      </c>
      <c r="C654" s="184">
        <v>0</v>
      </c>
      <c r="D654" s="125">
        <v>0</v>
      </c>
      <c r="E654" s="229">
        <v>0</v>
      </c>
      <c r="F654" s="224"/>
      <c r="G654" s="224"/>
      <c r="H654" s="224"/>
      <c r="I654" s="224"/>
      <c r="J654" s="224">
        <v>202368.73</v>
      </c>
      <c r="K654" s="224">
        <v>202368.73</v>
      </c>
      <c r="L654" s="223">
        <v>202</v>
      </c>
      <c r="M654" s="223">
        <v>202</v>
      </c>
      <c r="N654" s="221">
        <f t="shared" si="173"/>
        <v>202368.73</v>
      </c>
      <c r="O654" s="221">
        <f t="shared" si="173"/>
        <v>202368.73</v>
      </c>
      <c r="P654" s="238">
        <f t="shared" si="184"/>
        <v>0</v>
      </c>
    </row>
    <row r="655" spans="1:16" ht="11.25">
      <c r="A655" s="195">
        <v>581511</v>
      </c>
      <c r="B655" s="125" t="s">
        <v>1824</v>
      </c>
      <c r="C655" s="184">
        <v>0</v>
      </c>
      <c r="D655" s="125">
        <v>0</v>
      </c>
      <c r="E655" s="229">
        <v>0</v>
      </c>
      <c r="F655" s="224"/>
      <c r="G655" s="224"/>
      <c r="H655" s="224"/>
      <c r="I655" s="224"/>
      <c r="J655" s="224"/>
      <c r="K655" s="224"/>
      <c r="L655" s="223">
        <v>0</v>
      </c>
      <c r="M655" s="223">
        <v>0</v>
      </c>
      <c r="N655" s="221">
        <f t="shared" si="173"/>
        <v>0</v>
      </c>
      <c r="O655" s="221">
        <f t="shared" si="173"/>
        <v>0</v>
      </c>
      <c r="P655" s="238">
        <f t="shared" si="184"/>
        <v>0</v>
      </c>
    </row>
    <row r="656" spans="1:16" ht="11.25">
      <c r="A656" s="195">
        <v>581516</v>
      </c>
      <c r="B656" s="125" t="s">
        <v>1825</v>
      </c>
      <c r="C656" s="184">
        <v>28</v>
      </c>
      <c r="D656" s="125">
        <v>0</v>
      </c>
      <c r="E656" s="229">
        <v>-226609</v>
      </c>
      <c r="F656" s="224"/>
      <c r="G656" s="224"/>
      <c r="H656" s="224">
        <v>0</v>
      </c>
      <c r="I656" s="224">
        <v>0</v>
      </c>
      <c r="J656" s="224">
        <v>15800</v>
      </c>
      <c r="K656" s="224">
        <v>43904</v>
      </c>
      <c r="L656" s="223">
        <v>16</v>
      </c>
      <c r="M656" s="223"/>
      <c r="N656" s="221">
        <f t="shared" si="173"/>
        <v>15800</v>
      </c>
      <c r="O656" s="221">
        <f t="shared" si="173"/>
        <v>43904</v>
      </c>
      <c r="P656" s="239">
        <f t="shared" si="184"/>
        <v>44</v>
      </c>
    </row>
    <row r="657" spans="1:16" ht="11.25">
      <c r="A657" s="195">
        <v>581517</v>
      </c>
      <c r="B657" s="125" t="s">
        <v>1826</v>
      </c>
      <c r="C657" s="184">
        <v>2851</v>
      </c>
      <c r="D657" s="125">
        <v>0</v>
      </c>
      <c r="E657" s="229">
        <v>2851</v>
      </c>
      <c r="F657" s="224"/>
      <c r="G657" s="224"/>
      <c r="H657" s="224">
        <v>0</v>
      </c>
      <c r="I657" s="224">
        <v>0</v>
      </c>
      <c r="J657" s="224">
        <v>0</v>
      </c>
      <c r="K657" s="224">
        <v>2850703.74</v>
      </c>
      <c r="L657" s="223">
        <v>0</v>
      </c>
      <c r="M657" s="223"/>
      <c r="N657" s="221">
        <f t="shared" si="173"/>
        <v>0</v>
      </c>
      <c r="O657" s="221">
        <f t="shared" si="173"/>
        <v>2850703.74</v>
      </c>
      <c r="P657" s="239">
        <f t="shared" si="184"/>
        <v>2851</v>
      </c>
    </row>
    <row r="658" spans="1:16" ht="11.25">
      <c r="A658" s="195">
        <v>581520</v>
      </c>
      <c r="B658" s="125" t="s">
        <v>1827</v>
      </c>
      <c r="C658" s="184">
        <v>126717619</v>
      </c>
      <c r="D658" s="125">
        <v>0</v>
      </c>
      <c r="E658" s="229">
        <v>4165597830.39</v>
      </c>
      <c r="F658" s="224">
        <v>0</v>
      </c>
      <c r="G658" s="224">
        <v>57093.8</v>
      </c>
      <c r="H658" s="224">
        <v>0</v>
      </c>
      <c r="I658" s="224">
        <v>0</v>
      </c>
      <c r="J658" s="224">
        <v>27197696963.81</v>
      </c>
      <c r="K658" s="224">
        <v>153915258980.69</v>
      </c>
      <c r="L658" s="223">
        <v>27197697</v>
      </c>
      <c r="M658" s="223">
        <v>753463</v>
      </c>
      <c r="N658" s="221">
        <f t="shared" si="173"/>
        <v>27197696963.81</v>
      </c>
      <c r="O658" s="221">
        <f t="shared" si="173"/>
        <v>153915316074.49</v>
      </c>
      <c r="P658" s="239">
        <f t="shared" si="184"/>
        <v>153161853</v>
      </c>
    </row>
    <row r="659" spans="1:16" ht="11.25">
      <c r="A659" s="195">
        <v>581527</v>
      </c>
      <c r="B659" s="125" t="s">
        <v>1828</v>
      </c>
      <c r="C659" s="184">
        <v>0</v>
      </c>
      <c r="D659" s="125">
        <v>0</v>
      </c>
      <c r="E659" s="229">
        <v>0</v>
      </c>
      <c r="F659" s="224"/>
      <c r="G659" s="224"/>
      <c r="H659" s="224"/>
      <c r="I659" s="224"/>
      <c r="J659" s="224"/>
      <c r="K659" s="224"/>
      <c r="L659" s="223"/>
      <c r="M659" s="223"/>
      <c r="N659" s="221">
        <f t="shared" si="173"/>
        <v>0</v>
      </c>
      <c r="O659" s="221">
        <f t="shared" si="173"/>
        <v>0</v>
      </c>
      <c r="P659" s="238">
        <f t="shared" si="184"/>
        <v>0</v>
      </c>
    </row>
    <row r="660" spans="1:16" ht="11.25">
      <c r="A660" s="195">
        <v>581535</v>
      </c>
      <c r="B660" s="125" t="s">
        <v>1829</v>
      </c>
      <c r="C660" s="184">
        <v>0</v>
      </c>
      <c r="D660" s="125">
        <v>0</v>
      </c>
      <c r="E660" s="229">
        <v>0</v>
      </c>
      <c r="F660" s="224"/>
      <c r="G660" s="224"/>
      <c r="H660" s="224"/>
      <c r="I660" s="224"/>
      <c r="J660" s="224"/>
      <c r="K660" s="224"/>
      <c r="L660" s="223">
        <v>0</v>
      </c>
      <c r="M660" s="223">
        <v>0</v>
      </c>
      <c r="N660" s="221">
        <f t="shared" si="173"/>
        <v>0</v>
      </c>
      <c r="O660" s="221">
        <f t="shared" si="173"/>
        <v>0</v>
      </c>
      <c r="P660" s="238">
        <f t="shared" si="184"/>
        <v>0</v>
      </c>
    </row>
    <row r="661" spans="1:16" ht="11.25">
      <c r="A661" s="195"/>
      <c r="B661" s="125"/>
      <c r="C661" s="184"/>
      <c r="D661" s="125"/>
      <c r="E661" s="229"/>
      <c r="F661" s="224"/>
      <c r="G661" s="224"/>
      <c r="H661" s="224"/>
      <c r="I661" s="224"/>
      <c r="J661" s="224">
        <v>5821112061</v>
      </c>
      <c r="K661" s="224">
        <v>5821112061</v>
      </c>
      <c r="L661" s="223">
        <v>5821112</v>
      </c>
      <c r="M661" s="223">
        <v>5821112</v>
      </c>
      <c r="N661" s="221">
        <f t="shared" si="173"/>
        <v>5821112061</v>
      </c>
      <c r="O661" s="221">
        <f t="shared" si="173"/>
        <v>5821112061</v>
      </c>
      <c r="P661" s="238">
        <f t="shared" si="184"/>
        <v>0</v>
      </c>
    </row>
    <row r="662" spans="1:16" ht="11.25">
      <c r="A662" s="195">
        <v>581542</v>
      </c>
      <c r="B662" s="125" t="s">
        <v>1830</v>
      </c>
      <c r="C662" s="184">
        <v>0</v>
      </c>
      <c r="D662" s="125">
        <v>0</v>
      </c>
      <c r="E662" s="229">
        <v>0</v>
      </c>
      <c r="F662" s="224"/>
      <c r="G662" s="224"/>
      <c r="H662" s="224"/>
      <c r="I662" s="224"/>
      <c r="J662" s="224"/>
      <c r="K662" s="224"/>
      <c r="L662" s="223">
        <v>0</v>
      </c>
      <c r="M662" s="223">
        <v>0</v>
      </c>
      <c r="N662" s="221">
        <f t="shared" si="173"/>
        <v>0</v>
      </c>
      <c r="O662" s="221">
        <f t="shared" si="173"/>
        <v>0</v>
      </c>
      <c r="P662" s="238">
        <f t="shared" si="184"/>
        <v>0</v>
      </c>
    </row>
    <row r="663" spans="1:16" ht="22.5">
      <c r="A663" s="195">
        <v>581544</v>
      </c>
      <c r="B663" s="125" t="s">
        <v>1831</v>
      </c>
      <c r="C663" s="184">
        <v>0</v>
      </c>
      <c r="D663" s="125">
        <v>0</v>
      </c>
      <c r="E663" s="229">
        <v>0</v>
      </c>
      <c r="F663" s="224"/>
      <c r="G663" s="224"/>
      <c r="H663" s="224"/>
      <c r="I663" s="224"/>
      <c r="J663" s="224"/>
      <c r="K663" s="224"/>
      <c r="L663" s="223">
        <v>0</v>
      </c>
      <c r="M663" s="223">
        <v>0</v>
      </c>
      <c r="N663" s="221">
        <f t="shared" si="173"/>
        <v>0</v>
      </c>
      <c r="O663" s="221">
        <f t="shared" si="173"/>
        <v>0</v>
      </c>
      <c r="P663" s="238">
        <f t="shared" si="184"/>
        <v>0</v>
      </c>
    </row>
    <row r="664" spans="1:16" ht="22.5">
      <c r="A664" s="195">
        <v>581545</v>
      </c>
      <c r="B664" s="125" t="s">
        <v>1832</v>
      </c>
      <c r="C664" s="184">
        <v>0</v>
      </c>
      <c r="D664" s="125">
        <v>0</v>
      </c>
      <c r="E664" s="229">
        <v>0</v>
      </c>
      <c r="F664" s="224"/>
      <c r="G664" s="224"/>
      <c r="H664" s="224"/>
      <c r="I664" s="224"/>
      <c r="J664" s="224"/>
      <c r="K664" s="224"/>
      <c r="L664" s="223">
        <v>0</v>
      </c>
      <c r="M664" s="223">
        <v>0</v>
      </c>
      <c r="N664" s="221">
        <f t="shared" si="173"/>
        <v>0</v>
      </c>
      <c r="O664" s="221">
        <f t="shared" si="173"/>
        <v>0</v>
      </c>
      <c r="P664" s="238">
        <f t="shared" si="184"/>
        <v>0</v>
      </c>
    </row>
    <row r="665" spans="1:16" ht="22.5">
      <c r="A665" s="195">
        <v>581546</v>
      </c>
      <c r="B665" s="125" t="s">
        <v>1833</v>
      </c>
      <c r="C665" s="184">
        <v>0</v>
      </c>
      <c r="D665" s="125">
        <v>0</v>
      </c>
      <c r="E665" s="229">
        <v>0</v>
      </c>
      <c r="F665" s="224"/>
      <c r="G665" s="224"/>
      <c r="H665" s="224"/>
      <c r="I665" s="224"/>
      <c r="J665" s="224"/>
      <c r="K665" s="224"/>
      <c r="L665" s="223">
        <v>0</v>
      </c>
      <c r="M665" s="223">
        <v>0</v>
      </c>
      <c r="N665" s="221">
        <f t="shared" si="173"/>
        <v>0</v>
      </c>
      <c r="O665" s="221">
        <f t="shared" si="173"/>
        <v>0</v>
      </c>
      <c r="P665" s="238">
        <f t="shared" si="184"/>
        <v>0</v>
      </c>
    </row>
    <row r="666" spans="1:16" ht="11.25">
      <c r="A666" s="195">
        <v>581557</v>
      </c>
      <c r="B666" s="125" t="s">
        <v>1834</v>
      </c>
      <c r="C666" s="184">
        <v>0</v>
      </c>
      <c r="D666" s="125">
        <v>0</v>
      </c>
      <c r="E666" s="229">
        <v>0</v>
      </c>
      <c r="F666" s="224"/>
      <c r="G666" s="224"/>
      <c r="H666" s="224"/>
      <c r="I666" s="224"/>
      <c r="J666" s="224"/>
      <c r="K666" s="224"/>
      <c r="L666" s="223">
        <v>0</v>
      </c>
      <c r="M666" s="223">
        <v>0</v>
      </c>
      <c r="N666" s="221">
        <f t="shared" si="173"/>
        <v>0</v>
      </c>
      <c r="O666" s="221">
        <f t="shared" si="173"/>
        <v>0</v>
      </c>
      <c r="P666" s="238">
        <f t="shared" si="184"/>
        <v>0</v>
      </c>
    </row>
    <row r="667" spans="1:16" ht="22.5">
      <c r="A667" s="195">
        <v>581558</v>
      </c>
      <c r="B667" s="125" t="s">
        <v>1835</v>
      </c>
      <c r="C667" s="184">
        <v>0</v>
      </c>
      <c r="D667" s="125">
        <v>0</v>
      </c>
      <c r="E667" s="229">
        <v>0</v>
      </c>
      <c r="F667" s="224"/>
      <c r="G667" s="224"/>
      <c r="H667" s="224"/>
      <c r="I667" s="224"/>
      <c r="J667" s="224"/>
      <c r="K667" s="224"/>
      <c r="L667" s="223">
        <v>0</v>
      </c>
      <c r="M667" s="223">
        <v>0</v>
      </c>
      <c r="N667" s="221">
        <f t="shared" si="173"/>
        <v>0</v>
      </c>
      <c r="O667" s="221">
        <f t="shared" si="173"/>
        <v>0</v>
      </c>
      <c r="P667" s="238">
        <f t="shared" si="184"/>
        <v>0</v>
      </c>
    </row>
    <row r="668" spans="1:16" ht="11.25">
      <c r="A668" s="195">
        <v>581559</v>
      </c>
      <c r="B668" s="125" t="s">
        <v>1836</v>
      </c>
      <c r="C668" s="184">
        <v>0</v>
      </c>
      <c r="D668" s="125">
        <v>0</v>
      </c>
      <c r="E668" s="229">
        <v>29478023</v>
      </c>
      <c r="F668" s="224"/>
      <c r="G668" s="224"/>
      <c r="H668" s="224"/>
      <c r="I668" s="224"/>
      <c r="J668" s="224">
        <v>2669749597.18</v>
      </c>
      <c r="K668" s="224">
        <v>2669749597.18</v>
      </c>
      <c r="L668" s="223">
        <v>2669750</v>
      </c>
      <c r="M668" s="223">
        <f>2669750+156917</f>
        <v>2826667</v>
      </c>
      <c r="N668" s="221">
        <f t="shared" si="173"/>
        <v>2669749597.18</v>
      </c>
      <c r="O668" s="221">
        <f t="shared" si="173"/>
        <v>2669749597.18</v>
      </c>
      <c r="P668" s="239">
        <f t="shared" si="184"/>
        <v>-156917</v>
      </c>
    </row>
    <row r="669" spans="1:16" ht="22.5">
      <c r="A669" s="195">
        <v>581576</v>
      </c>
      <c r="B669" s="125" t="s">
        <v>1837</v>
      </c>
      <c r="C669" s="184">
        <v>111028462</v>
      </c>
      <c r="D669" s="125">
        <v>0</v>
      </c>
      <c r="E669" s="229">
        <v>110958325948.16</v>
      </c>
      <c r="F669" s="224">
        <v>11679643305.93</v>
      </c>
      <c r="G669" s="224">
        <v>0</v>
      </c>
      <c r="H669" s="224">
        <v>0</v>
      </c>
      <c r="I669" s="224">
        <v>0</v>
      </c>
      <c r="J669" s="224">
        <v>134088057801.74</v>
      </c>
      <c r="K669" s="224">
        <v>256796162631.83</v>
      </c>
      <c r="L669" s="223">
        <v>145767701</v>
      </c>
      <c r="M669" s="223">
        <v>1196500</v>
      </c>
      <c r="N669" s="221">
        <f t="shared" si="173"/>
        <v>145767701107.67</v>
      </c>
      <c r="O669" s="221">
        <f t="shared" si="173"/>
        <v>256796162631.83</v>
      </c>
      <c r="P669" s="239">
        <f t="shared" si="184"/>
        <v>255599663</v>
      </c>
    </row>
    <row r="670" spans="1:16" ht="11.25">
      <c r="A670" s="195">
        <v>581586</v>
      </c>
      <c r="B670" s="125" t="s">
        <v>1838</v>
      </c>
      <c r="C670" s="184">
        <v>0</v>
      </c>
      <c r="D670" s="125">
        <v>0</v>
      </c>
      <c r="E670" s="229">
        <v>83800627</v>
      </c>
      <c r="F670" s="224"/>
      <c r="G670" s="224"/>
      <c r="H670" s="224"/>
      <c r="I670" s="224"/>
      <c r="J670" s="224">
        <v>7311854.91</v>
      </c>
      <c r="K670" s="224">
        <v>7311854.91</v>
      </c>
      <c r="L670" s="223">
        <v>7312</v>
      </c>
      <c r="M670" s="223">
        <v>7312</v>
      </c>
      <c r="N670" s="221">
        <f t="shared" si="173"/>
        <v>7311854.91</v>
      </c>
      <c r="O670" s="221">
        <f t="shared" si="173"/>
        <v>7311854.91</v>
      </c>
      <c r="P670" s="238">
        <f t="shared" si="184"/>
        <v>0</v>
      </c>
    </row>
    <row r="671" spans="1:16" ht="11.25">
      <c r="A671" s="194">
        <v>590000</v>
      </c>
      <c r="B671" s="124" t="s">
        <v>1839</v>
      </c>
      <c r="C671" s="220">
        <f aca="true" t="shared" si="185" ref="C671:M672">C672</f>
        <v>0</v>
      </c>
      <c r="D671" s="220">
        <f t="shared" si="185"/>
        <v>0</v>
      </c>
      <c r="E671" s="220">
        <f t="shared" si="185"/>
        <v>0</v>
      </c>
      <c r="F671" s="220">
        <f t="shared" si="185"/>
        <v>0</v>
      </c>
      <c r="G671" s="220">
        <f t="shared" si="185"/>
        <v>0</v>
      </c>
      <c r="H671" s="220">
        <f t="shared" si="185"/>
        <v>0</v>
      </c>
      <c r="I671" s="220">
        <f t="shared" si="185"/>
        <v>0</v>
      </c>
      <c r="J671" s="220">
        <f t="shared" si="185"/>
        <v>-90182429902.84999</v>
      </c>
      <c r="K671" s="220">
        <f t="shared" si="185"/>
        <v>-90182429902.85</v>
      </c>
      <c r="L671" s="220">
        <f t="shared" si="185"/>
        <v>-90182430</v>
      </c>
      <c r="M671" s="220">
        <f t="shared" si="185"/>
        <v>0</v>
      </c>
      <c r="N671" s="221">
        <f t="shared" si="173"/>
        <v>-90182429902.84999</v>
      </c>
      <c r="O671" s="221">
        <f t="shared" si="173"/>
        <v>-90182429902.85</v>
      </c>
      <c r="P671" s="238">
        <f>P672</f>
        <v>-90182430</v>
      </c>
    </row>
    <row r="672" spans="1:16" ht="11.25">
      <c r="A672" s="194">
        <v>590500</v>
      </c>
      <c r="B672" s="124" t="s">
        <v>1839</v>
      </c>
      <c r="C672" s="220">
        <f t="shared" si="185"/>
        <v>0</v>
      </c>
      <c r="D672" s="220">
        <f t="shared" si="185"/>
        <v>0</v>
      </c>
      <c r="E672" s="220">
        <f t="shared" si="185"/>
        <v>0</v>
      </c>
      <c r="F672" s="220">
        <f t="shared" si="185"/>
        <v>0</v>
      </c>
      <c r="G672" s="220">
        <f t="shared" si="185"/>
        <v>0</v>
      </c>
      <c r="H672" s="220">
        <f t="shared" si="185"/>
        <v>0</v>
      </c>
      <c r="I672" s="220">
        <f t="shared" si="185"/>
        <v>0</v>
      </c>
      <c r="J672" s="220">
        <f t="shared" si="185"/>
        <v>-90182429902.84999</v>
      </c>
      <c r="K672" s="220">
        <f t="shared" si="185"/>
        <v>-90182429902.85</v>
      </c>
      <c r="L672" s="220">
        <f t="shared" si="185"/>
        <v>-90182430</v>
      </c>
      <c r="M672" s="220">
        <f t="shared" si="185"/>
        <v>0</v>
      </c>
      <c r="N672" s="221">
        <f t="shared" si="173"/>
        <v>-90182429902.84999</v>
      </c>
      <c r="O672" s="221">
        <f t="shared" si="173"/>
        <v>-90182429902.85</v>
      </c>
      <c r="P672" s="238">
        <f>P673</f>
        <v>-90182430</v>
      </c>
    </row>
    <row r="673" spans="1:16" ht="11.25">
      <c r="A673" s="195">
        <v>590501</v>
      </c>
      <c r="B673" s="125" t="s">
        <v>1840</v>
      </c>
      <c r="C673" s="184">
        <v>0</v>
      </c>
      <c r="D673" s="125">
        <v>0</v>
      </c>
      <c r="E673" s="229">
        <v>0</v>
      </c>
      <c r="F673" s="224"/>
      <c r="G673" s="224"/>
      <c r="H673" s="224"/>
      <c r="I673" s="224"/>
      <c r="J673" s="224">
        <v>-90182429902.84999</v>
      </c>
      <c r="K673" s="224">
        <v>-90182429902.85</v>
      </c>
      <c r="L673" s="223">
        <v>-90182430</v>
      </c>
      <c r="M673" s="223"/>
      <c r="N673" s="221">
        <f t="shared" si="173"/>
        <v>-90182429902.84999</v>
      </c>
      <c r="O673" s="221">
        <f t="shared" si="173"/>
        <v>-90182429902.85</v>
      </c>
      <c r="P673" s="238">
        <f>+C673+L673-M673</f>
        <v>-90182430</v>
      </c>
    </row>
    <row r="674" spans="1:16" ht="11.25">
      <c r="A674" s="194">
        <v>800000</v>
      </c>
      <c r="B674" s="124" t="s">
        <v>1841</v>
      </c>
      <c r="C674" s="220">
        <f aca="true" t="shared" si="186" ref="C674:M674">C675+C687</f>
        <v>0</v>
      </c>
      <c r="D674" s="220">
        <f t="shared" si="186"/>
        <v>0</v>
      </c>
      <c r="E674" s="220">
        <f t="shared" si="186"/>
        <v>0</v>
      </c>
      <c r="F674" s="220">
        <f t="shared" si="186"/>
        <v>0</v>
      </c>
      <c r="G674" s="220">
        <f t="shared" si="186"/>
        <v>0</v>
      </c>
      <c r="H674" s="220">
        <f t="shared" si="186"/>
        <v>0</v>
      </c>
      <c r="I674" s="220">
        <f t="shared" si="186"/>
        <v>0</v>
      </c>
      <c r="J674" s="220">
        <f t="shared" si="186"/>
        <v>23876560217.6</v>
      </c>
      <c r="K674" s="220">
        <f t="shared" si="186"/>
        <v>23876560217.6</v>
      </c>
      <c r="L674" s="220">
        <f t="shared" si="186"/>
        <v>23876559</v>
      </c>
      <c r="M674" s="220">
        <f t="shared" si="186"/>
        <v>23876559</v>
      </c>
      <c r="N674" s="221">
        <f t="shared" si="173"/>
        <v>23876560217.6</v>
      </c>
      <c r="O674" s="221">
        <f t="shared" si="173"/>
        <v>23876560217.6</v>
      </c>
      <c r="P674" s="238">
        <f>P675+P687</f>
        <v>0</v>
      </c>
    </row>
    <row r="675" spans="1:16" ht="11.25">
      <c r="A675" s="194">
        <v>830000</v>
      </c>
      <c r="B675" s="124" t="s">
        <v>1842</v>
      </c>
      <c r="C675" s="220">
        <f aca="true" t="shared" si="187" ref="C675:M675">C676+C679+C681+C685</f>
        <v>13571095</v>
      </c>
      <c r="D675" s="220">
        <f t="shared" si="187"/>
        <v>0</v>
      </c>
      <c r="E675" s="220">
        <f t="shared" si="187"/>
        <v>13545940</v>
      </c>
      <c r="F675" s="220">
        <f t="shared" si="187"/>
        <v>0</v>
      </c>
      <c r="G675" s="220">
        <f t="shared" si="187"/>
        <v>0</v>
      </c>
      <c r="H675" s="220">
        <f t="shared" si="187"/>
        <v>0</v>
      </c>
      <c r="I675" s="220">
        <f t="shared" si="187"/>
        <v>0</v>
      </c>
      <c r="J675" s="220">
        <f t="shared" si="187"/>
        <v>12279927808.8</v>
      </c>
      <c r="K675" s="220">
        <f t="shared" si="187"/>
        <v>11596632408.8</v>
      </c>
      <c r="L675" s="220">
        <f t="shared" si="187"/>
        <v>12279927</v>
      </c>
      <c r="M675" s="220">
        <f t="shared" si="187"/>
        <v>11596632</v>
      </c>
      <c r="N675" s="221">
        <f t="shared" si="173"/>
        <v>12279927808.8</v>
      </c>
      <c r="O675" s="221">
        <f t="shared" si="173"/>
        <v>11596632408.8</v>
      </c>
      <c r="P675" s="238">
        <f>P676+P679+P681+P685</f>
        <v>14254390</v>
      </c>
    </row>
    <row r="676" spans="1:16" ht="22.5">
      <c r="A676" s="194">
        <v>831500</v>
      </c>
      <c r="B676" s="124" t="s">
        <v>2505</v>
      </c>
      <c r="C676" s="220">
        <f aca="true" t="shared" si="188" ref="C676:M676">SUM(C677:C678)</f>
        <v>0</v>
      </c>
      <c r="D676" s="220">
        <f t="shared" si="188"/>
        <v>0</v>
      </c>
      <c r="E676" s="220">
        <f t="shared" si="188"/>
        <v>0</v>
      </c>
      <c r="F676" s="220">
        <f t="shared" si="188"/>
        <v>0</v>
      </c>
      <c r="G676" s="220">
        <f t="shared" si="188"/>
        <v>0</v>
      </c>
      <c r="H676" s="220">
        <f t="shared" si="188"/>
        <v>0</v>
      </c>
      <c r="I676" s="220">
        <f t="shared" si="188"/>
        <v>0</v>
      </c>
      <c r="J676" s="220">
        <f t="shared" si="188"/>
        <v>0</v>
      </c>
      <c r="K676" s="220">
        <f t="shared" si="188"/>
        <v>0</v>
      </c>
      <c r="L676" s="220">
        <f t="shared" si="188"/>
        <v>0</v>
      </c>
      <c r="M676" s="220">
        <f t="shared" si="188"/>
        <v>0</v>
      </c>
      <c r="N676" s="221">
        <f t="shared" si="173"/>
        <v>0</v>
      </c>
      <c r="O676" s="221">
        <f t="shared" si="173"/>
        <v>0</v>
      </c>
      <c r="P676" s="238">
        <f>SUM(P677:P678)</f>
        <v>0</v>
      </c>
    </row>
    <row r="677" spans="1:16" ht="11.25">
      <c r="A677" s="195">
        <v>831507</v>
      </c>
      <c r="B677" s="125" t="s">
        <v>3521</v>
      </c>
      <c r="C677" s="184">
        <v>0</v>
      </c>
      <c r="D677" s="125">
        <v>0</v>
      </c>
      <c r="E677" s="229">
        <v>0</v>
      </c>
      <c r="F677" s="224"/>
      <c r="G677" s="224"/>
      <c r="H677" s="224"/>
      <c r="I677" s="224"/>
      <c r="J677" s="224"/>
      <c r="K677" s="224"/>
      <c r="L677" s="223">
        <v>0</v>
      </c>
      <c r="M677" s="223">
        <v>0</v>
      </c>
      <c r="N677" s="221">
        <f t="shared" si="173"/>
        <v>0</v>
      </c>
      <c r="O677" s="221">
        <f t="shared" si="173"/>
        <v>0</v>
      </c>
      <c r="P677" s="238">
        <f>+C677+L677-M677</f>
        <v>0</v>
      </c>
    </row>
    <row r="678" spans="1:16" ht="11.25">
      <c r="A678" s="195">
        <v>831535</v>
      </c>
      <c r="B678" s="125" t="s">
        <v>2506</v>
      </c>
      <c r="C678" s="184">
        <v>0</v>
      </c>
      <c r="D678" s="125">
        <v>0</v>
      </c>
      <c r="E678" s="229">
        <v>0</v>
      </c>
      <c r="F678" s="224"/>
      <c r="G678" s="224"/>
      <c r="H678" s="224"/>
      <c r="I678" s="224"/>
      <c r="J678" s="224"/>
      <c r="K678" s="224"/>
      <c r="L678" s="223">
        <v>0</v>
      </c>
      <c r="M678" s="223">
        <v>0</v>
      </c>
      <c r="N678" s="221">
        <f t="shared" si="173"/>
        <v>0</v>
      </c>
      <c r="O678" s="221">
        <f t="shared" si="173"/>
        <v>0</v>
      </c>
      <c r="P678" s="238">
        <f>+C678+L678-M678</f>
        <v>0</v>
      </c>
    </row>
    <row r="679" spans="1:16" ht="22.5">
      <c r="A679" s="194">
        <v>831600</v>
      </c>
      <c r="B679" s="124" t="s">
        <v>894</v>
      </c>
      <c r="C679" s="220">
        <f aca="true" t="shared" si="189" ref="C679:M679">C680</f>
        <v>0</v>
      </c>
      <c r="D679" s="220">
        <f t="shared" si="189"/>
        <v>0</v>
      </c>
      <c r="E679" s="220">
        <f t="shared" si="189"/>
        <v>0</v>
      </c>
      <c r="F679" s="220">
        <f t="shared" si="189"/>
        <v>0</v>
      </c>
      <c r="G679" s="220">
        <f t="shared" si="189"/>
        <v>0</v>
      </c>
      <c r="H679" s="220">
        <f t="shared" si="189"/>
        <v>0</v>
      </c>
      <c r="I679" s="220">
        <f t="shared" si="189"/>
        <v>0</v>
      </c>
      <c r="J679" s="220">
        <f t="shared" si="189"/>
        <v>0</v>
      </c>
      <c r="K679" s="220">
        <f t="shared" si="189"/>
        <v>0</v>
      </c>
      <c r="L679" s="220">
        <f t="shared" si="189"/>
        <v>0</v>
      </c>
      <c r="M679" s="220">
        <f t="shared" si="189"/>
        <v>0</v>
      </c>
      <c r="N679" s="221">
        <f t="shared" si="173"/>
        <v>0</v>
      </c>
      <c r="O679" s="221">
        <f t="shared" si="173"/>
        <v>0</v>
      </c>
      <c r="P679" s="238">
        <f>P680</f>
        <v>0</v>
      </c>
    </row>
    <row r="680" spans="1:16" ht="11.25">
      <c r="A680" s="195">
        <v>831690</v>
      </c>
      <c r="B680" s="125" t="s">
        <v>898</v>
      </c>
      <c r="C680" s="184">
        <v>0</v>
      </c>
      <c r="D680" s="125">
        <v>0</v>
      </c>
      <c r="E680" s="229">
        <v>0</v>
      </c>
      <c r="F680" s="224"/>
      <c r="G680" s="224"/>
      <c r="H680" s="224"/>
      <c r="I680" s="224"/>
      <c r="J680" s="224"/>
      <c r="K680" s="224"/>
      <c r="L680" s="223">
        <v>0</v>
      </c>
      <c r="M680" s="223">
        <v>0</v>
      </c>
      <c r="N680" s="221">
        <f t="shared" si="173"/>
        <v>0</v>
      </c>
      <c r="O680" s="221">
        <f t="shared" si="173"/>
        <v>0</v>
      </c>
      <c r="P680" s="238">
        <f>+C680+L680-M680</f>
        <v>0</v>
      </c>
    </row>
    <row r="681" spans="1:16" ht="11.25">
      <c r="A681" s="194">
        <v>833000</v>
      </c>
      <c r="B681" s="124" t="s">
        <v>2507</v>
      </c>
      <c r="C681" s="220">
        <f aca="true" t="shared" si="190" ref="C681:M681">SUM(C682:C684)</f>
        <v>13571095</v>
      </c>
      <c r="D681" s="220">
        <f t="shared" si="190"/>
        <v>0</v>
      </c>
      <c r="E681" s="220">
        <f t="shared" si="190"/>
        <v>13545940</v>
      </c>
      <c r="F681" s="220">
        <f t="shared" si="190"/>
        <v>0</v>
      </c>
      <c r="G681" s="220">
        <f t="shared" si="190"/>
        <v>0</v>
      </c>
      <c r="H681" s="220">
        <f t="shared" si="190"/>
        <v>0</v>
      </c>
      <c r="I681" s="220">
        <f t="shared" si="190"/>
        <v>0</v>
      </c>
      <c r="J681" s="220">
        <f t="shared" si="190"/>
        <v>684295400</v>
      </c>
      <c r="K681" s="220">
        <f t="shared" si="190"/>
        <v>1000000</v>
      </c>
      <c r="L681" s="220">
        <f t="shared" si="190"/>
        <v>684295</v>
      </c>
      <c r="M681" s="220">
        <f t="shared" si="190"/>
        <v>1000</v>
      </c>
      <c r="N681" s="221">
        <f t="shared" si="173"/>
        <v>684295400</v>
      </c>
      <c r="O681" s="221">
        <f t="shared" si="173"/>
        <v>1000000</v>
      </c>
      <c r="P681" s="238">
        <f>SUM(P682:P684)</f>
        <v>14254390</v>
      </c>
    </row>
    <row r="682" spans="1:16" ht="11.25">
      <c r="A682" s="195">
        <v>833005</v>
      </c>
      <c r="B682" s="125" t="s">
        <v>902</v>
      </c>
      <c r="C682" s="184">
        <v>11690704</v>
      </c>
      <c r="D682" s="125">
        <v>0</v>
      </c>
      <c r="E682" s="229">
        <v>11665549</v>
      </c>
      <c r="F682" s="224"/>
      <c r="G682" s="224"/>
      <c r="H682" s="224">
        <v>0</v>
      </c>
      <c r="I682" s="224">
        <v>0</v>
      </c>
      <c r="J682" s="224">
        <v>0</v>
      </c>
      <c r="K682" s="224">
        <v>0</v>
      </c>
      <c r="L682" s="223">
        <v>0</v>
      </c>
      <c r="M682" s="223">
        <v>0</v>
      </c>
      <c r="N682" s="221">
        <f t="shared" si="173"/>
        <v>0</v>
      </c>
      <c r="O682" s="221">
        <f t="shared" si="173"/>
        <v>0</v>
      </c>
      <c r="P682" s="239">
        <f>+C682+L682-M682</f>
        <v>11690704</v>
      </c>
    </row>
    <row r="683" spans="1:16" ht="11.25">
      <c r="A683" s="195">
        <v>833008</v>
      </c>
      <c r="B683" s="125" t="s">
        <v>840</v>
      </c>
      <c r="C683" s="184">
        <v>1880391</v>
      </c>
      <c r="D683" s="125">
        <v>0</v>
      </c>
      <c r="E683" s="229">
        <v>1880391</v>
      </c>
      <c r="F683" s="224"/>
      <c r="G683" s="224"/>
      <c r="H683" s="224">
        <v>0</v>
      </c>
      <c r="I683" s="224">
        <v>0</v>
      </c>
      <c r="J683" s="224">
        <v>684295400</v>
      </c>
      <c r="K683" s="224">
        <v>1000000</v>
      </c>
      <c r="L683" s="223">
        <v>684295</v>
      </c>
      <c r="M683" s="223">
        <v>1000</v>
      </c>
      <c r="N683" s="221">
        <f t="shared" si="173"/>
        <v>684295400</v>
      </c>
      <c r="O683" s="221">
        <f t="shared" si="173"/>
        <v>1000000</v>
      </c>
      <c r="P683" s="239">
        <f>+C683+L683-M683</f>
        <v>2563686</v>
      </c>
    </row>
    <row r="684" spans="1:16" ht="11.25">
      <c r="A684" s="195">
        <v>833013</v>
      </c>
      <c r="B684" s="125" t="s">
        <v>1743</v>
      </c>
      <c r="C684" s="184">
        <v>0</v>
      </c>
      <c r="D684" s="125">
        <v>0</v>
      </c>
      <c r="E684" s="229">
        <v>0</v>
      </c>
      <c r="F684" s="224"/>
      <c r="G684" s="224"/>
      <c r="H684" s="224"/>
      <c r="I684" s="224"/>
      <c r="J684" s="224"/>
      <c r="K684" s="224"/>
      <c r="L684" s="223">
        <v>0</v>
      </c>
      <c r="M684" s="223">
        <v>0</v>
      </c>
      <c r="N684" s="221">
        <f t="shared" si="173"/>
        <v>0</v>
      </c>
      <c r="O684" s="221">
        <f t="shared" si="173"/>
        <v>0</v>
      </c>
      <c r="P684" s="238">
        <f>+C684+L684-M684</f>
        <v>0</v>
      </c>
    </row>
    <row r="685" spans="1:16" ht="11.25">
      <c r="A685" s="194">
        <v>839000</v>
      </c>
      <c r="B685" s="124" t="s">
        <v>2508</v>
      </c>
      <c r="C685" s="220">
        <f aca="true" t="shared" si="191" ref="C685:M685">C686</f>
        <v>0</v>
      </c>
      <c r="D685" s="220">
        <f t="shared" si="191"/>
        <v>0</v>
      </c>
      <c r="E685" s="220">
        <f t="shared" si="191"/>
        <v>0</v>
      </c>
      <c r="F685" s="220">
        <f t="shared" si="191"/>
        <v>0</v>
      </c>
      <c r="G685" s="220">
        <f t="shared" si="191"/>
        <v>0</v>
      </c>
      <c r="H685" s="220">
        <f t="shared" si="191"/>
        <v>0</v>
      </c>
      <c r="I685" s="220">
        <f t="shared" si="191"/>
        <v>0</v>
      </c>
      <c r="J685" s="220">
        <f t="shared" si="191"/>
        <v>11595632408.8</v>
      </c>
      <c r="K685" s="220">
        <f t="shared" si="191"/>
        <v>11595632408.8</v>
      </c>
      <c r="L685" s="220">
        <f t="shared" si="191"/>
        <v>11595632</v>
      </c>
      <c r="M685" s="220">
        <f t="shared" si="191"/>
        <v>11595632</v>
      </c>
      <c r="N685" s="221">
        <f t="shared" si="173"/>
        <v>11595632408.8</v>
      </c>
      <c r="O685" s="221">
        <f t="shared" si="173"/>
        <v>11595632408.8</v>
      </c>
      <c r="P685" s="238">
        <f>P686</f>
        <v>0</v>
      </c>
    </row>
    <row r="686" spans="1:16" ht="11.25">
      <c r="A686" s="195">
        <v>839090</v>
      </c>
      <c r="B686" s="125" t="s">
        <v>2509</v>
      </c>
      <c r="C686" s="184">
        <v>0</v>
      </c>
      <c r="D686" s="125">
        <v>0</v>
      </c>
      <c r="E686" s="229">
        <v>0</v>
      </c>
      <c r="F686" s="224"/>
      <c r="G686" s="224"/>
      <c r="H686" s="224"/>
      <c r="I686" s="224"/>
      <c r="J686" s="224">
        <v>11595632408.8</v>
      </c>
      <c r="K686" s="224">
        <v>11595632408.8</v>
      </c>
      <c r="L686" s="223">
        <v>11595632</v>
      </c>
      <c r="M686" s="223">
        <v>11595632</v>
      </c>
      <c r="N686" s="221">
        <f t="shared" si="173"/>
        <v>11595632408.8</v>
      </c>
      <c r="O686" s="221">
        <f t="shared" si="173"/>
        <v>11595632408.8</v>
      </c>
      <c r="P686" s="238">
        <f>+C686+L686-M686</f>
        <v>0</v>
      </c>
    </row>
    <row r="687" spans="1:16" ht="11.25">
      <c r="A687" s="194">
        <v>890000</v>
      </c>
      <c r="B687" s="124" t="s">
        <v>2510</v>
      </c>
      <c r="C687" s="220">
        <f aca="true" t="shared" si="192" ref="C687:M687">C688</f>
        <v>-13571095</v>
      </c>
      <c r="D687" s="220">
        <f t="shared" si="192"/>
        <v>0</v>
      </c>
      <c r="E687" s="220">
        <f t="shared" si="192"/>
        <v>-13545940</v>
      </c>
      <c r="F687" s="220">
        <f t="shared" si="192"/>
        <v>0</v>
      </c>
      <c r="G687" s="220">
        <f t="shared" si="192"/>
        <v>0</v>
      </c>
      <c r="H687" s="220">
        <f t="shared" si="192"/>
        <v>0</v>
      </c>
      <c r="I687" s="220">
        <f t="shared" si="192"/>
        <v>0</v>
      </c>
      <c r="J687" s="220">
        <f t="shared" si="192"/>
        <v>11596632408.8</v>
      </c>
      <c r="K687" s="220">
        <f t="shared" si="192"/>
        <v>12279927808.8</v>
      </c>
      <c r="L687" s="220">
        <f t="shared" si="192"/>
        <v>11596632</v>
      </c>
      <c r="M687" s="220">
        <f t="shared" si="192"/>
        <v>12279927</v>
      </c>
      <c r="N687" s="221">
        <f t="shared" si="173"/>
        <v>11596632408.8</v>
      </c>
      <c r="O687" s="221">
        <f t="shared" si="173"/>
        <v>12279927808.8</v>
      </c>
      <c r="P687" s="238">
        <f>P688</f>
        <v>-14254390</v>
      </c>
    </row>
    <row r="688" spans="1:16" ht="11.25">
      <c r="A688" s="194">
        <v>891500</v>
      </c>
      <c r="B688" s="124" t="s">
        <v>2511</v>
      </c>
      <c r="C688" s="220">
        <f aca="true" t="shared" si="193" ref="C688:M688">SUM(C689:C692)</f>
        <v>-13571095</v>
      </c>
      <c r="D688" s="220">
        <f t="shared" si="193"/>
        <v>0</v>
      </c>
      <c r="E688" s="220">
        <f t="shared" si="193"/>
        <v>-13545940</v>
      </c>
      <c r="F688" s="220">
        <f t="shared" si="193"/>
        <v>0</v>
      </c>
      <c r="G688" s="220">
        <f t="shared" si="193"/>
        <v>0</v>
      </c>
      <c r="H688" s="220">
        <f t="shared" si="193"/>
        <v>0</v>
      </c>
      <c r="I688" s="220">
        <f t="shared" si="193"/>
        <v>0</v>
      </c>
      <c r="J688" s="220">
        <f t="shared" si="193"/>
        <v>11596632408.8</v>
      </c>
      <c r="K688" s="220">
        <f t="shared" si="193"/>
        <v>12279927808.8</v>
      </c>
      <c r="L688" s="220">
        <f t="shared" si="193"/>
        <v>11596632</v>
      </c>
      <c r="M688" s="220">
        <f t="shared" si="193"/>
        <v>12279927</v>
      </c>
      <c r="N688" s="221">
        <f t="shared" si="173"/>
        <v>11596632408.8</v>
      </c>
      <c r="O688" s="221">
        <f t="shared" si="173"/>
        <v>12279927808.8</v>
      </c>
      <c r="P688" s="238">
        <f>SUM(P689:P692)</f>
        <v>-14254390</v>
      </c>
    </row>
    <row r="689" spans="1:16" ht="22.5">
      <c r="A689" s="195">
        <v>891506</v>
      </c>
      <c r="B689" s="125" t="s">
        <v>2512</v>
      </c>
      <c r="C689" s="184">
        <v>0</v>
      </c>
      <c r="D689" s="125">
        <v>0</v>
      </c>
      <c r="E689" s="229">
        <v>0</v>
      </c>
      <c r="F689" s="224"/>
      <c r="G689" s="224"/>
      <c r="H689" s="224"/>
      <c r="I689" s="224"/>
      <c r="J689" s="224"/>
      <c r="K689" s="224"/>
      <c r="L689" s="223">
        <v>0</v>
      </c>
      <c r="M689" s="223">
        <v>0</v>
      </c>
      <c r="N689" s="221">
        <f aca="true" t="shared" si="194" ref="N689:O752">+F689+H689+J689</f>
        <v>0</v>
      </c>
      <c r="O689" s="221">
        <f t="shared" si="194"/>
        <v>0</v>
      </c>
      <c r="P689" s="238">
        <f>+C689+L689-M689</f>
        <v>0</v>
      </c>
    </row>
    <row r="690" spans="1:16" ht="11.25">
      <c r="A690" s="195">
        <v>891507</v>
      </c>
      <c r="B690" s="125" t="s">
        <v>2513</v>
      </c>
      <c r="C690" s="184">
        <v>0</v>
      </c>
      <c r="D690" s="125">
        <v>0</v>
      </c>
      <c r="E690" s="229">
        <v>0</v>
      </c>
      <c r="F690" s="224"/>
      <c r="G690" s="224"/>
      <c r="H690" s="224"/>
      <c r="I690" s="224"/>
      <c r="J690" s="224"/>
      <c r="K690" s="224"/>
      <c r="L690" s="223">
        <v>0</v>
      </c>
      <c r="M690" s="223">
        <v>0</v>
      </c>
      <c r="N690" s="221">
        <f t="shared" si="194"/>
        <v>0</v>
      </c>
      <c r="O690" s="221">
        <f t="shared" si="194"/>
        <v>0</v>
      </c>
      <c r="P690" s="238">
        <f>+C690+L690-M690</f>
        <v>0</v>
      </c>
    </row>
    <row r="691" spans="1:16" ht="11.25">
      <c r="A691" s="195">
        <v>891511</v>
      </c>
      <c r="B691" s="125" t="s">
        <v>2514</v>
      </c>
      <c r="C691" s="184">
        <v>-13571095</v>
      </c>
      <c r="D691" s="125">
        <v>0</v>
      </c>
      <c r="E691" s="229">
        <v>-13545940</v>
      </c>
      <c r="F691" s="224"/>
      <c r="G691" s="224"/>
      <c r="H691" s="224">
        <v>0</v>
      </c>
      <c r="I691" s="224">
        <v>0</v>
      </c>
      <c r="J691" s="224">
        <v>1000000</v>
      </c>
      <c r="K691" s="224">
        <v>684295400</v>
      </c>
      <c r="L691" s="223">
        <v>1000</v>
      </c>
      <c r="M691" s="223">
        <v>684295</v>
      </c>
      <c r="N691" s="221">
        <f t="shared" si="194"/>
        <v>1000000</v>
      </c>
      <c r="O691" s="221">
        <f t="shared" si="194"/>
        <v>684295400</v>
      </c>
      <c r="P691" s="239">
        <f>+C691+L691-M691</f>
        <v>-14254390</v>
      </c>
    </row>
    <row r="692" spans="1:16" ht="11.25">
      <c r="A692" s="195">
        <v>891590</v>
      </c>
      <c r="B692" s="125" t="s">
        <v>2515</v>
      </c>
      <c r="C692" s="184">
        <v>0</v>
      </c>
      <c r="D692" s="125">
        <v>0</v>
      </c>
      <c r="E692" s="229">
        <v>0</v>
      </c>
      <c r="F692" s="224"/>
      <c r="G692" s="224"/>
      <c r="H692" s="224"/>
      <c r="I692" s="224"/>
      <c r="J692" s="224">
        <v>11595632408.8</v>
      </c>
      <c r="K692" s="224">
        <v>11595632408.8</v>
      </c>
      <c r="L692" s="223">
        <v>11595632</v>
      </c>
      <c r="M692" s="223">
        <v>11595632</v>
      </c>
      <c r="N692" s="221">
        <f t="shared" si="194"/>
        <v>11595632408.8</v>
      </c>
      <c r="O692" s="221">
        <f t="shared" si="194"/>
        <v>11595632408.8</v>
      </c>
      <c r="P692" s="238">
        <f>+C692+L692-M692</f>
        <v>0</v>
      </c>
    </row>
    <row r="693" spans="1:16" ht="11.25">
      <c r="A693" s="194">
        <v>900000</v>
      </c>
      <c r="B693" s="124" t="s">
        <v>2516</v>
      </c>
      <c r="C693" s="220">
        <f aca="true" t="shared" si="195" ref="C693:M693">C694+C701+C709</f>
        <v>0</v>
      </c>
      <c r="D693" s="220">
        <f t="shared" si="195"/>
        <v>0</v>
      </c>
      <c r="E693" s="220">
        <f t="shared" si="195"/>
        <v>12654487272.389893</v>
      </c>
      <c r="F693" s="220">
        <f t="shared" si="195"/>
        <v>10590084</v>
      </c>
      <c r="G693" s="220">
        <f t="shared" si="195"/>
        <v>10590084</v>
      </c>
      <c r="H693" s="220">
        <f t="shared" si="195"/>
        <v>1373415731820.36</v>
      </c>
      <c r="I693" s="220">
        <f t="shared" si="195"/>
        <v>1373415731820.36</v>
      </c>
      <c r="J693" s="220">
        <f t="shared" si="195"/>
        <v>293964219810.42004</v>
      </c>
      <c r="K693" s="220">
        <f t="shared" si="195"/>
        <v>293964219810.42</v>
      </c>
      <c r="L693" s="220">
        <f t="shared" si="195"/>
        <v>1857572077</v>
      </c>
      <c r="M693" s="220">
        <f t="shared" si="195"/>
        <v>1857572077</v>
      </c>
      <c r="N693" s="221">
        <f t="shared" si="194"/>
        <v>1667390541714.7803</v>
      </c>
      <c r="O693" s="221">
        <f t="shared" si="194"/>
        <v>1667390541714.78</v>
      </c>
      <c r="P693" s="238">
        <f>P694+P701+P709</f>
        <v>0</v>
      </c>
    </row>
    <row r="694" spans="1:16" ht="11.25">
      <c r="A694" s="194">
        <v>910000</v>
      </c>
      <c r="B694" s="124" t="s">
        <v>2517</v>
      </c>
      <c r="C694" s="220">
        <f aca="true" t="shared" si="196" ref="C694:M694">C695+C697+C699</f>
        <v>3501340702</v>
      </c>
      <c r="D694" s="220">
        <f t="shared" si="196"/>
        <v>0</v>
      </c>
      <c r="E694" s="220">
        <f t="shared" si="196"/>
        <v>-1617939591912.49</v>
      </c>
      <c r="F694" s="220">
        <f t="shared" si="196"/>
        <v>0</v>
      </c>
      <c r="G694" s="220">
        <f t="shared" si="196"/>
        <v>0</v>
      </c>
      <c r="H694" s="220">
        <f t="shared" si="196"/>
        <v>1329721578094.36</v>
      </c>
      <c r="I694" s="220">
        <f t="shared" si="196"/>
        <v>0</v>
      </c>
      <c r="J694" s="220">
        <f t="shared" si="196"/>
        <v>0</v>
      </c>
      <c r="K694" s="220">
        <f t="shared" si="196"/>
        <v>284243633208.42</v>
      </c>
      <c r="L694" s="220">
        <f t="shared" si="196"/>
        <v>1519903114</v>
      </c>
      <c r="M694" s="220">
        <f t="shared" si="196"/>
        <v>284243633</v>
      </c>
      <c r="N694" s="221">
        <f t="shared" si="194"/>
        <v>1329721578094.36</v>
      </c>
      <c r="O694" s="221">
        <f t="shared" si="194"/>
        <v>284243633208.42</v>
      </c>
      <c r="P694" s="238">
        <f>P695+P697+P699</f>
        <v>2265681221</v>
      </c>
    </row>
    <row r="695" spans="1:16" ht="11.25">
      <c r="A695" s="194">
        <v>912000</v>
      </c>
      <c r="B695" s="124" t="s">
        <v>2518</v>
      </c>
      <c r="C695" s="220">
        <f aca="true" t="shared" si="197" ref="C695:M695">C696</f>
        <v>3311159166</v>
      </c>
      <c r="D695" s="220">
        <f t="shared" si="197"/>
        <v>0</v>
      </c>
      <c r="E695" s="220">
        <f t="shared" si="197"/>
        <v>-1653332191303.24</v>
      </c>
      <c r="F695" s="220">
        <f t="shared" si="197"/>
        <v>0</v>
      </c>
      <c r="G695" s="220">
        <f t="shared" si="197"/>
        <v>0</v>
      </c>
      <c r="H695" s="220">
        <f t="shared" si="197"/>
        <v>1329721578094.36</v>
      </c>
      <c r="I695" s="220">
        <f t="shared" si="197"/>
        <v>0</v>
      </c>
      <c r="J695" s="220">
        <f t="shared" si="197"/>
        <v>0</v>
      </c>
      <c r="K695" s="220">
        <f t="shared" si="197"/>
        <v>0</v>
      </c>
      <c r="L695" s="220">
        <f t="shared" si="197"/>
        <v>1329721578</v>
      </c>
      <c r="M695" s="220">
        <f t="shared" si="197"/>
        <v>0</v>
      </c>
      <c r="N695" s="221">
        <f t="shared" si="194"/>
        <v>1329721578094.36</v>
      </c>
      <c r="O695" s="221">
        <f t="shared" si="194"/>
        <v>0</v>
      </c>
      <c r="P695" s="238">
        <f>P696</f>
        <v>1981437588</v>
      </c>
    </row>
    <row r="696" spans="1:16" ht="11.25">
      <c r="A696" s="195">
        <v>912002</v>
      </c>
      <c r="B696" s="125" t="s">
        <v>2519</v>
      </c>
      <c r="C696" s="184">
        <v>3311159166</v>
      </c>
      <c r="D696" s="125">
        <v>0</v>
      </c>
      <c r="E696" s="229">
        <v>-1653332191303.24</v>
      </c>
      <c r="F696" s="224"/>
      <c r="G696" s="224"/>
      <c r="H696" s="224">
        <v>1329721578094.36</v>
      </c>
      <c r="I696" s="224">
        <v>0</v>
      </c>
      <c r="J696" s="224">
        <v>0</v>
      </c>
      <c r="K696" s="224">
        <v>0</v>
      </c>
      <c r="L696" s="223">
        <v>1329721578</v>
      </c>
      <c r="M696" s="223">
        <v>0</v>
      </c>
      <c r="N696" s="221">
        <f t="shared" si="194"/>
        <v>1329721578094.36</v>
      </c>
      <c r="O696" s="221">
        <f t="shared" si="194"/>
        <v>0</v>
      </c>
      <c r="P696" s="239">
        <f>+C696-L696+M696</f>
        <v>1981437588</v>
      </c>
    </row>
    <row r="697" spans="1:16" ht="11.25">
      <c r="A697" s="194">
        <v>913500</v>
      </c>
      <c r="B697" s="124" t="s">
        <v>2520</v>
      </c>
      <c r="C697" s="220">
        <f aca="true" t="shared" si="198" ref="C697:M697">C698</f>
        <v>190181536</v>
      </c>
      <c r="D697" s="220">
        <f t="shared" si="198"/>
        <v>0</v>
      </c>
      <c r="E697" s="220">
        <f t="shared" si="198"/>
        <v>35392599390.75</v>
      </c>
      <c r="F697" s="220">
        <f t="shared" si="198"/>
        <v>0</v>
      </c>
      <c r="G697" s="220">
        <f t="shared" si="198"/>
        <v>0</v>
      </c>
      <c r="H697" s="220">
        <f t="shared" si="198"/>
        <v>0</v>
      </c>
      <c r="I697" s="220">
        <f t="shared" si="198"/>
        <v>0</v>
      </c>
      <c r="J697" s="220">
        <f t="shared" si="198"/>
        <v>0</v>
      </c>
      <c r="K697" s="220">
        <f t="shared" si="198"/>
        <v>284243633208.42</v>
      </c>
      <c r="L697" s="220">
        <f t="shared" si="198"/>
        <v>190181536</v>
      </c>
      <c r="M697" s="220">
        <f t="shared" si="198"/>
        <v>284243633</v>
      </c>
      <c r="N697" s="221">
        <f t="shared" si="194"/>
        <v>0</v>
      </c>
      <c r="O697" s="221">
        <f t="shared" si="194"/>
        <v>284243633208.42</v>
      </c>
      <c r="P697" s="238">
        <f>P698</f>
        <v>284243633</v>
      </c>
    </row>
    <row r="698" spans="1:16" ht="11.25">
      <c r="A698" s="195">
        <v>913503</v>
      </c>
      <c r="B698" s="125" t="s">
        <v>2521</v>
      </c>
      <c r="C698" s="184">
        <v>190181536</v>
      </c>
      <c r="D698" s="125">
        <v>0</v>
      </c>
      <c r="E698" s="229">
        <v>35392599390.75</v>
      </c>
      <c r="F698" s="224"/>
      <c r="G698" s="224"/>
      <c r="H698" s="224">
        <v>0</v>
      </c>
      <c r="I698" s="224">
        <v>0</v>
      </c>
      <c r="J698" s="224">
        <v>0</v>
      </c>
      <c r="K698" s="224">
        <v>284243633208.42</v>
      </c>
      <c r="L698" s="223">
        <v>190181536</v>
      </c>
      <c r="M698" s="223">
        <f>284243633</f>
        <v>284243633</v>
      </c>
      <c r="N698" s="221">
        <f t="shared" si="194"/>
        <v>0</v>
      </c>
      <c r="O698" s="221">
        <f t="shared" si="194"/>
        <v>284243633208.42</v>
      </c>
      <c r="P698" s="239">
        <f>+C698-L698+M698</f>
        <v>284243633</v>
      </c>
    </row>
    <row r="699" spans="1:16" ht="11.25">
      <c r="A699" s="194">
        <v>919000</v>
      </c>
      <c r="B699" s="124" t="s">
        <v>2522</v>
      </c>
      <c r="C699" s="220">
        <f aca="true" t="shared" si="199" ref="C699:M699">C700</f>
        <v>0</v>
      </c>
      <c r="D699" s="220">
        <f t="shared" si="199"/>
        <v>0</v>
      </c>
      <c r="E699" s="220">
        <f t="shared" si="199"/>
        <v>0</v>
      </c>
      <c r="F699" s="220">
        <f t="shared" si="199"/>
        <v>0</v>
      </c>
      <c r="G699" s="220">
        <f t="shared" si="199"/>
        <v>0</v>
      </c>
      <c r="H699" s="220">
        <f t="shared" si="199"/>
        <v>0</v>
      </c>
      <c r="I699" s="220">
        <f t="shared" si="199"/>
        <v>0</v>
      </c>
      <c r="J699" s="220">
        <f t="shared" si="199"/>
        <v>0</v>
      </c>
      <c r="K699" s="220">
        <f t="shared" si="199"/>
        <v>0</v>
      </c>
      <c r="L699" s="220">
        <f t="shared" si="199"/>
        <v>0</v>
      </c>
      <c r="M699" s="220">
        <f t="shared" si="199"/>
        <v>0</v>
      </c>
      <c r="N699" s="221">
        <f t="shared" si="194"/>
        <v>0</v>
      </c>
      <c r="O699" s="221">
        <f t="shared" si="194"/>
        <v>0</v>
      </c>
      <c r="P699" s="238">
        <f>P700</f>
        <v>0</v>
      </c>
    </row>
    <row r="700" spans="1:16" ht="11.25">
      <c r="A700" s="195">
        <v>919090</v>
      </c>
      <c r="B700" s="125" t="s">
        <v>2523</v>
      </c>
      <c r="C700" s="184">
        <v>0</v>
      </c>
      <c r="D700" s="125">
        <v>0</v>
      </c>
      <c r="E700" s="229">
        <v>0</v>
      </c>
      <c r="F700" s="224"/>
      <c r="G700" s="224"/>
      <c r="H700" s="224"/>
      <c r="I700" s="224"/>
      <c r="J700" s="224"/>
      <c r="K700" s="224"/>
      <c r="L700" s="223">
        <v>0</v>
      </c>
      <c r="M700" s="223">
        <v>0</v>
      </c>
      <c r="N700" s="221">
        <f t="shared" si="194"/>
        <v>0</v>
      </c>
      <c r="O700" s="221">
        <f t="shared" si="194"/>
        <v>0</v>
      </c>
      <c r="P700" s="238">
        <f>+C700+L700-M700</f>
        <v>0</v>
      </c>
    </row>
    <row r="701" spans="1:16" ht="11.25">
      <c r="A701" s="194">
        <v>930000</v>
      </c>
      <c r="B701" s="124" t="s">
        <v>2524</v>
      </c>
      <c r="C701" s="220">
        <f aca="true" t="shared" si="200" ref="C701:M701">C702+C706</f>
        <v>878169</v>
      </c>
      <c r="D701" s="220">
        <f t="shared" si="200"/>
        <v>0</v>
      </c>
      <c r="E701" s="220">
        <f t="shared" si="200"/>
        <v>-11695631</v>
      </c>
      <c r="F701" s="220">
        <f t="shared" si="200"/>
        <v>4864740</v>
      </c>
      <c r="G701" s="220">
        <f t="shared" si="200"/>
        <v>5725344</v>
      </c>
      <c r="H701" s="220">
        <f t="shared" si="200"/>
        <v>21847076863</v>
      </c>
      <c r="I701" s="220">
        <f t="shared" si="200"/>
        <v>21847076863</v>
      </c>
      <c r="J701" s="220">
        <f t="shared" si="200"/>
        <v>4867016796</v>
      </c>
      <c r="K701" s="220">
        <f t="shared" si="200"/>
        <v>4853569806</v>
      </c>
      <c r="L701" s="220">
        <f t="shared" si="200"/>
        <v>26718958</v>
      </c>
      <c r="M701" s="220">
        <f t="shared" si="200"/>
        <v>26706372</v>
      </c>
      <c r="N701" s="221">
        <f t="shared" si="194"/>
        <v>26718958399</v>
      </c>
      <c r="O701" s="221">
        <f t="shared" si="194"/>
        <v>26706372013</v>
      </c>
      <c r="P701" s="238">
        <f>P702+P706</f>
        <v>890755</v>
      </c>
    </row>
    <row r="702" spans="1:16" ht="11.25">
      <c r="A702" s="194">
        <v>934600</v>
      </c>
      <c r="B702" s="124" t="s">
        <v>2525</v>
      </c>
      <c r="C702" s="220">
        <f aca="true" t="shared" si="201" ref="C702:M702">SUM(C703:C705)</f>
        <v>890755</v>
      </c>
      <c r="D702" s="220">
        <f t="shared" si="201"/>
        <v>0</v>
      </c>
      <c r="E702" s="220">
        <f t="shared" si="201"/>
        <v>890755</v>
      </c>
      <c r="F702" s="220">
        <f t="shared" si="201"/>
        <v>0</v>
      </c>
      <c r="G702" s="220">
        <f t="shared" si="201"/>
        <v>0</v>
      </c>
      <c r="H702" s="220">
        <f t="shared" si="201"/>
        <v>0</v>
      </c>
      <c r="I702" s="220">
        <f t="shared" si="201"/>
        <v>0</v>
      </c>
      <c r="J702" s="220">
        <f t="shared" si="201"/>
        <v>0</v>
      </c>
      <c r="K702" s="220">
        <f t="shared" si="201"/>
        <v>0</v>
      </c>
      <c r="L702" s="220">
        <f t="shared" si="201"/>
        <v>0</v>
      </c>
      <c r="M702" s="220">
        <f t="shared" si="201"/>
        <v>0</v>
      </c>
      <c r="N702" s="221">
        <f t="shared" si="194"/>
        <v>0</v>
      </c>
      <c r="O702" s="221">
        <f t="shared" si="194"/>
        <v>0</v>
      </c>
      <c r="P702" s="238">
        <f>SUM(P703:P705)</f>
        <v>890755</v>
      </c>
    </row>
    <row r="703" spans="1:16" ht="11.25">
      <c r="A703" s="195">
        <v>934606</v>
      </c>
      <c r="B703" s="125" t="s">
        <v>840</v>
      </c>
      <c r="C703" s="184">
        <v>823218</v>
      </c>
      <c r="D703" s="125">
        <v>0</v>
      </c>
      <c r="E703" s="229">
        <v>823218</v>
      </c>
      <c r="F703" s="224"/>
      <c r="G703" s="224"/>
      <c r="H703" s="224">
        <v>0</v>
      </c>
      <c r="I703" s="224">
        <v>0</v>
      </c>
      <c r="J703" s="224">
        <v>0</v>
      </c>
      <c r="K703" s="224">
        <v>0</v>
      </c>
      <c r="L703" s="223">
        <v>0</v>
      </c>
      <c r="M703" s="223">
        <v>0</v>
      </c>
      <c r="N703" s="221">
        <f t="shared" si="194"/>
        <v>0</v>
      </c>
      <c r="O703" s="221">
        <f t="shared" si="194"/>
        <v>0</v>
      </c>
      <c r="P703" s="239">
        <f>+C703+L703-M703</f>
        <v>823218</v>
      </c>
    </row>
    <row r="704" spans="1:16" ht="11.25">
      <c r="A704" s="195">
        <v>934612</v>
      </c>
      <c r="B704" s="125" t="s">
        <v>3521</v>
      </c>
      <c r="C704" s="184">
        <v>67537</v>
      </c>
      <c r="D704" s="125">
        <v>0</v>
      </c>
      <c r="E704" s="229">
        <v>67537</v>
      </c>
      <c r="F704" s="224"/>
      <c r="G704" s="224"/>
      <c r="H704" s="224">
        <v>0</v>
      </c>
      <c r="I704" s="224">
        <v>0</v>
      </c>
      <c r="J704" s="224">
        <v>0</v>
      </c>
      <c r="K704" s="224">
        <v>0</v>
      </c>
      <c r="L704" s="223">
        <v>0</v>
      </c>
      <c r="M704" s="223">
        <v>0</v>
      </c>
      <c r="N704" s="221">
        <f t="shared" si="194"/>
        <v>0</v>
      </c>
      <c r="O704" s="221">
        <f t="shared" si="194"/>
        <v>0</v>
      </c>
      <c r="P704" s="239">
        <f>+C704+L704-M704</f>
        <v>67537</v>
      </c>
    </row>
    <row r="705" spans="1:16" ht="11.25">
      <c r="A705" s="195">
        <v>934613</v>
      </c>
      <c r="B705" s="125" t="s">
        <v>906</v>
      </c>
      <c r="C705" s="184">
        <v>0</v>
      </c>
      <c r="D705" s="125">
        <v>0</v>
      </c>
      <c r="E705" s="229">
        <v>0</v>
      </c>
      <c r="F705" s="224"/>
      <c r="G705" s="224"/>
      <c r="H705" s="224"/>
      <c r="I705" s="224"/>
      <c r="J705" s="224"/>
      <c r="K705" s="224"/>
      <c r="L705" s="223">
        <v>0</v>
      </c>
      <c r="M705" s="223">
        <v>0</v>
      </c>
      <c r="N705" s="221">
        <f t="shared" si="194"/>
        <v>0</v>
      </c>
      <c r="O705" s="221">
        <f t="shared" si="194"/>
        <v>0</v>
      </c>
      <c r="P705" s="238">
        <f>+C705+L705-M705</f>
        <v>0</v>
      </c>
    </row>
    <row r="706" spans="1:16" ht="11.25">
      <c r="A706" s="194">
        <v>939000</v>
      </c>
      <c r="B706" s="124" t="s">
        <v>2526</v>
      </c>
      <c r="C706" s="220">
        <f aca="true" t="shared" si="202" ref="C706:M706">SUM(C707:C708)</f>
        <v>-12586</v>
      </c>
      <c r="D706" s="220">
        <f t="shared" si="202"/>
        <v>0</v>
      </c>
      <c r="E706" s="220">
        <f t="shared" si="202"/>
        <v>-12586386</v>
      </c>
      <c r="F706" s="220">
        <f t="shared" si="202"/>
        <v>4864740</v>
      </c>
      <c r="G706" s="220">
        <f t="shared" si="202"/>
        <v>5725344</v>
      </c>
      <c r="H706" s="220">
        <f t="shared" si="202"/>
        <v>21847076863</v>
      </c>
      <c r="I706" s="220">
        <f t="shared" si="202"/>
        <v>21847076863</v>
      </c>
      <c r="J706" s="220">
        <f t="shared" si="202"/>
        <v>4867016796</v>
      </c>
      <c r="K706" s="220">
        <f t="shared" si="202"/>
        <v>4853569806</v>
      </c>
      <c r="L706" s="220">
        <f t="shared" si="202"/>
        <v>26718958</v>
      </c>
      <c r="M706" s="220">
        <f t="shared" si="202"/>
        <v>26706372</v>
      </c>
      <c r="N706" s="221">
        <f t="shared" si="194"/>
        <v>26718958399</v>
      </c>
      <c r="O706" s="221">
        <f t="shared" si="194"/>
        <v>26706372013</v>
      </c>
      <c r="P706" s="238">
        <f>SUM(P707:P708)</f>
        <v>0</v>
      </c>
    </row>
    <row r="707" spans="1:16" ht="11.25">
      <c r="A707" s="195">
        <v>939002</v>
      </c>
      <c r="B707" s="125" t="s">
        <v>2527</v>
      </c>
      <c r="C707" s="184">
        <v>-12586</v>
      </c>
      <c r="D707" s="125">
        <v>0</v>
      </c>
      <c r="E707" s="229">
        <v>-12586386</v>
      </c>
      <c r="F707" s="224">
        <v>2964740</v>
      </c>
      <c r="G707" s="224">
        <v>3825344</v>
      </c>
      <c r="H707" s="224">
        <v>21845176863</v>
      </c>
      <c r="I707" s="224">
        <v>21845176863</v>
      </c>
      <c r="J707" s="224">
        <v>4864616796</v>
      </c>
      <c r="K707" s="224">
        <v>4851169806</v>
      </c>
      <c r="L707" s="223">
        <f>26712758</f>
        <v>26712758</v>
      </c>
      <c r="M707" s="223">
        <v>26700172</v>
      </c>
      <c r="N707" s="221">
        <f t="shared" si="194"/>
        <v>26712758399</v>
      </c>
      <c r="O707" s="221">
        <f t="shared" si="194"/>
        <v>26700172013</v>
      </c>
      <c r="P707" s="238">
        <f>+C707+L707-M707</f>
        <v>0</v>
      </c>
    </row>
    <row r="708" spans="1:16" ht="11.25">
      <c r="A708" s="195">
        <v>939090</v>
      </c>
      <c r="B708" s="125" t="s">
        <v>2528</v>
      </c>
      <c r="C708" s="184">
        <v>0</v>
      </c>
      <c r="D708" s="125">
        <v>0</v>
      </c>
      <c r="E708" s="229">
        <v>0</v>
      </c>
      <c r="F708" s="224">
        <v>1900000</v>
      </c>
      <c r="G708" s="224">
        <v>1900000</v>
      </c>
      <c r="H708" s="224">
        <v>1900000</v>
      </c>
      <c r="I708" s="224">
        <v>1900000</v>
      </c>
      <c r="J708" s="224">
        <v>2400000</v>
      </c>
      <c r="K708" s="224">
        <v>2400000</v>
      </c>
      <c r="L708" s="223">
        <v>6200</v>
      </c>
      <c r="M708" s="223">
        <v>6200</v>
      </c>
      <c r="N708" s="221">
        <f t="shared" si="194"/>
        <v>6200000</v>
      </c>
      <c r="O708" s="221">
        <f t="shared" si="194"/>
        <v>6200000</v>
      </c>
      <c r="P708" s="238">
        <f>+C708+L708-M708</f>
        <v>0</v>
      </c>
    </row>
    <row r="709" spans="1:16" ht="11.25">
      <c r="A709" s="194">
        <v>990000</v>
      </c>
      <c r="B709" s="124" t="s">
        <v>2529</v>
      </c>
      <c r="C709" s="220">
        <f aca="true" t="shared" si="203" ref="C709:M709">C710+C714</f>
        <v>-3502218871</v>
      </c>
      <c r="D709" s="220">
        <f t="shared" si="203"/>
        <v>0</v>
      </c>
      <c r="E709" s="220">
        <f t="shared" si="203"/>
        <v>1630605774815.88</v>
      </c>
      <c r="F709" s="220">
        <f t="shared" si="203"/>
        <v>5725344</v>
      </c>
      <c r="G709" s="220">
        <f t="shared" si="203"/>
        <v>4864740</v>
      </c>
      <c r="H709" s="220">
        <f t="shared" si="203"/>
        <v>21847076863</v>
      </c>
      <c r="I709" s="220">
        <f t="shared" si="203"/>
        <v>1351568654957.36</v>
      </c>
      <c r="J709" s="220">
        <f t="shared" si="203"/>
        <v>289097203014.42004</v>
      </c>
      <c r="K709" s="220">
        <f t="shared" si="203"/>
        <v>4867016796</v>
      </c>
      <c r="L709" s="220">
        <f t="shared" si="203"/>
        <v>310950005</v>
      </c>
      <c r="M709" s="220">
        <f t="shared" si="203"/>
        <v>1546622072</v>
      </c>
      <c r="N709" s="221">
        <f t="shared" si="194"/>
        <v>310950005221.42004</v>
      </c>
      <c r="O709" s="221">
        <f t="shared" si="194"/>
        <v>1356440536493.36</v>
      </c>
      <c r="P709" s="238">
        <f>P710+P714</f>
        <v>-2266571976</v>
      </c>
    </row>
    <row r="710" spans="1:16" ht="22.5">
      <c r="A710" s="194">
        <v>990500</v>
      </c>
      <c r="B710" s="124" t="s">
        <v>2530</v>
      </c>
      <c r="C710" s="220">
        <f aca="true" t="shared" si="204" ref="C710:M710">SUM(C711:C713)</f>
        <v>-3501340702</v>
      </c>
      <c r="D710" s="220">
        <f t="shared" si="204"/>
        <v>0</v>
      </c>
      <c r="E710" s="220">
        <f t="shared" si="204"/>
        <v>1630594079184.88</v>
      </c>
      <c r="F710" s="220">
        <f t="shared" si="204"/>
        <v>0</v>
      </c>
      <c r="G710" s="220">
        <f t="shared" si="204"/>
        <v>0</v>
      </c>
      <c r="H710" s="220">
        <f t="shared" si="204"/>
        <v>0</v>
      </c>
      <c r="I710" s="220">
        <f t="shared" si="204"/>
        <v>1329721578094.36</v>
      </c>
      <c r="J710" s="220">
        <f t="shared" si="204"/>
        <v>284243633208.42004</v>
      </c>
      <c r="K710" s="220">
        <f t="shared" si="204"/>
        <v>0</v>
      </c>
      <c r="L710" s="220">
        <f t="shared" si="204"/>
        <v>284243633</v>
      </c>
      <c r="M710" s="220">
        <f t="shared" si="204"/>
        <v>1519903114</v>
      </c>
      <c r="N710" s="221">
        <f t="shared" si="194"/>
        <v>284243633208.42004</v>
      </c>
      <c r="O710" s="221">
        <f t="shared" si="194"/>
        <v>1329721578094.36</v>
      </c>
      <c r="P710" s="238">
        <f>SUM(P711:P713)</f>
        <v>-2265681221</v>
      </c>
    </row>
    <row r="711" spans="1:16" ht="11.25">
      <c r="A711" s="195">
        <v>990505</v>
      </c>
      <c r="B711" s="125" t="s">
        <v>2531</v>
      </c>
      <c r="C711" s="184">
        <v>-3311159166</v>
      </c>
      <c r="D711" s="125">
        <v>0</v>
      </c>
      <c r="E711" s="229">
        <v>1665986678575.63</v>
      </c>
      <c r="F711" s="224"/>
      <c r="G711" s="224"/>
      <c r="H711" s="224">
        <v>0</v>
      </c>
      <c r="I711" s="224">
        <v>1329721578094.36</v>
      </c>
      <c r="J711" s="224">
        <v>0</v>
      </c>
      <c r="K711" s="224">
        <v>0</v>
      </c>
      <c r="L711" s="223">
        <v>0</v>
      </c>
      <c r="M711" s="223">
        <v>1329721578</v>
      </c>
      <c r="N711" s="221">
        <f t="shared" si="194"/>
        <v>0</v>
      </c>
      <c r="O711" s="221">
        <f t="shared" si="194"/>
        <v>1329721578094.36</v>
      </c>
      <c r="P711" s="239">
        <f>+C711-L711+M711</f>
        <v>-1981437588</v>
      </c>
    </row>
    <row r="712" spans="1:16" ht="11.25">
      <c r="A712" s="195">
        <v>990508</v>
      </c>
      <c r="B712" s="125" t="s">
        <v>2532</v>
      </c>
      <c r="C712" s="184">
        <v>-190181536</v>
      </c>
      <c r="D712" s="125">
        <v>0</v>
      </c>
      <c r="E712" s="229">
        <v>-35392599390.75</v>
      </c>
      <c r="F712" s="224"/>
      <c r="G712" s="224"/>
      <c r="H712" s="224">
        <v>0</v>
      </c>
      <c r="I712" s="224">
        <v>0</v>
      </c>
      <c r="J712" s="224">
        <v>284243633208.42004</v>
      </c>
      <c r="K712" s="224">
        <v>0</v>
      </c>
      <c r="L712" s="223">
        <f>284243633</f>
        <v>284243633</v>
      </c>
      <c r="M712" s="223">
        <v>190181536</v>
      </c>
      <c r="N712" s="221">
        <f t="shared" si="194"/>
        <v>284243633208.42004</v>
      </c>
      <c r="O712" s="221">
        <f t="shared" si="194"/>
        <v>0</v>
      </c>
      <c r="P712" s="239">
        <f>+C712-L712+M712</f>
        <v>-284243633</v>
      </c>
    </row>
    <row r="713" spans="1:16" ht="11.25">
      <c r="A713" s="195">
        <v>990590</v>
      </c>
      <c r="B713" s="125" t="s">
        <v>2528</v>
      </c>
      <c r="C713" s="184">
        <v>0</v>
      </c>
      <c r="D713" s="125">
        <v>0</v>
      </c>
      <c r="E713" s="229">
        <v>0</v>
      </c>
      <c r="F713" s="224"/>
      <c r="G713" s="224"/>
      <c r="H713" s="224"/>
      <c r="I713" s="224"/>
      <c r="J713" s="224"/>
      <c r="K713" s="224"/>
      <c r="L713" s="223">
        <v>0</v>
      </c>
      <c r="M713" s="223">
        <v>0</v>
      </c>
      <c r="N713" s="221">
        <f t="shared" si="194"/>
        <v>0</v>
      </c>
      <c r="O713" s="221">
        <f t="shared" si="194"/>
        <v>0</v>
      </c>
      <c r="P713" s="238">
        <f>+C713+L713-M713</f>
        <v>0</v>
      </c>
    </row>
    <row r="714" spans="1:16" ht="22.5">
      <c r="A714" s="194">
        <v>991500</v>
      </c>
      <c r="B714" s="124" t="s">
        <v>2530</v>
      </c>
      <c r="C714" s="220">
        <f aca="true" t="shared" si="205" ref="C714:M714">SUM(C715:C716)</f>
        <v>-878169</v>
      </c>
      <c r="D714" s="220">
        <f t="shared" si="205"/>
        <v>0</v>
      </c>
      <c r="E714" s="220">
        <f t="shared" si="205"/>
        <v>11695631</v>
      </c>
      <c r="F714" s="220">
        <f t="shared" si="205"/>
        <v>5725344</v>
      </c>
      <c r="G714" s="220">
        <f t="shared" si="205"/>
        <v>4864740</v>
      </c>
      <c r="H714" s="220">
        <f t="shared" si="205"/>
        <v>21847076863</v>
      </c>
      <c r="I714" s="220">
        <f t="shared" si="205"/>
        <v>21847076863</v>
      </c>
      <c r="J714" s="220">
        <f t="shared" si="205"/>
        <v>4853569806</v>
      </c>
      <c r="K714" s="220">
        <f t="shared" si="205"/>
        <v>4867016796</v>
      </c>
      <c r="L714" s="220">
        <f t="shared" si="205"/>
        <v>26706372</v>
      </c>
      <c r="M714" s="220">
        <f t="shared" si="205"/>
        <v>26718958</v>
      </c>
      <c r="N714" s="221">
        <f t="shared" si="194"/>
        <v>26706372013</v>
      </c>
      <c r="O714" s="221">
        <f t="shared" si="194"/>
        <v>26718958399</v>
      </c>
      <c r="P714" s="238">
        <f>SUM(P715:P716)</f>
        <v>-890755</v>
      </c>
    </row>
    <row r="715" spans="1:16" ht="11.25">
      <c r="A715" s="195">
        <v>991506</v>
      </c>
      <c r="B715" s="125" t="s">
        <v>2533</v>
      </c>
      <c r="C715" s="184">
        <v>-890755</v>
      </c>
      <c r="D715" s="125">
        <v>0</v>
      </c>
      <c r="E715" s="229">
        <v>-890755</v>
      </c>
      <c r="F715" s="224"/>
      <c r="G715" s="224"/>
      <c r="H715" s="224">
        <v>0</v>
      </c>
      <c r="I715" s="224">
        <v>0</v>
      </c>
      <c r="J715" s="224">
        <v>0</v>
      </c>
      <c r="K715" s="224">
        <v>0</v>
      </c>
      <c r="L715" s="223">
        <v>0</v>
      </c>
      <c r="M715" s="223">
        <v>0</v>
      </c>
      <c r="N715" s="221">
        <f t="shared" si="194"/>
        <v>0</v>
      </c>
      <c r="O715" s="221">
        <f t="shared" si="194"/>
        <v>0</v>
      </c>
      <c r="P715" s="239">
        <f>+C715+L715-M715</f>
        <v>-890755</v>
      </c>
    </row>
    <row r="716" spans="1:16" ht="11.25">
      <c r="A716" s="195">
        <v>991590</v>
      </c>
      <c r="B716" s="125" t="s">
        <v>2528</v>
      </c>
      <c r="C716" s="184">
        <v>12586</v>
      </c>
      <c r="D716" s="125">
        <v>0</v>
      </c>
      <c r="E716" s="229">
        <v>12586386</v>
      </c>
      <c r="F716" s="224">
        <v>5725344</v>
      </c>
      <c r="G716" s="224">
        <v>4864740</v>
      </c>
      <c r="H716" s="224">
        <v>21847076863</v>
      </c>
      <c r="I716" s="224">
        <v>21847076863</v>
      </c>
      <c r="J716" s="224">
        <v>4853569806</v>
      </c>
      <c r="K716" s="224">
        <v>4867016796</v>
      </c>
      <c r="L716" s="223">
        <v>26706372</v>
      </c>
      <c r="M716" s="223">
        <v>26718958</v>
      </c>
      <c r="N716" s="221">
        <f t="shared" si="194"/>
        <v>26706372013</v>
      </c>
      <c r="O716" s="221">
        <f t="shared" si="194"/>
        <v>26718958399</v>
      </c>
      <c r="P716" s="238">
        <f>+C716+L716-M716</f>
        <v>0</v>
      </c>
    </row>
    <row r="717" spans="1:16" ht="11.25">
      <c r="A717" s="198">
        <v>0</v>
      </c>
      <c r="B717" s="199" t="s">
        <v>2534</v>
      </c>
      <c r="C717" s="220">
        <f aca="true" t="shared" si="206" ref="C717:M717">C718+C739+C853+C876+C892+C895+C898</f>
        <v>0</v>
      </c>
      <c r="D717" s="220">
        <f t="shared" si="206"/>
        <v>0</v>
      </c>
      <c r="E717" s="220">
        <f t="shared" si="206"/>
        <v>-6925230914.57048</v>
      </c>
      <c r="F717" s="220">
        <f t="shared" si="206"/>
        <v>0</v>
      </c>
      <c r="G717" s="220">
        <f t="shared" si="206"/>
        <v>0</v>
      </c>
      <c r="H717" s="220">
        <f t="shared" si="206"/>
        <v>0</v>
      </c>
      <c r="I717" s="220">
        <f t="shared" si="206"/>
        <v>0</v>
      </c>
      <c r="J717" s="220">
        <f t="shared" si="206"/>
        <v>22303402924055.04</v>
      </c>
      <c r="K717" s="220">
        <f t="shared" si="206"/>
        <v>22303402924055.04</v>
      </c>
      <c r="L717" s="220">
        <f t="shared" si="206"/>
        <v>13701175725</v>
      </c>
      <c r="M717" s="220">
        <f t="shared" si="206"/>
        <v>13701175725</v>
      </c>
      <c r="N717" s="221">
        <f t="shared" si="194"/>
        <v>22303402924055.04</v>
      </c>
      <c r="O717" s="221">
        <f t="shared" si="194"/>
        <v>22303402924055.04</v>
      </c>
      <c r="P717" s="238">
        <f>P718+P739+P853+P876+P892+P895+P898</f>
        <v>0</v>
      </c>
    </row>
    <row r="718" spans="1:16" ht="11.25">
      <c r="A718" s="198">
        <v>20000</v>
      </c>
      <c r="B718" s="199" t="s">
        <v>2535</v>
      </c>
      <c r="C718" s="220">
        <f aca="true" t="shared" si="207" ref="C718:M718">C719+C722+C725+C728+C731+C733+C735+C737</f>
        <v>0</v>
      </c>
      <c r="D718" s="220">
        <f t="shared" si="207"/>
        <v>0</v>
      </c>
      <c r="E718" s="220">
        <f t="shared" si="207"/>
        <v>0</v>
      </c>
      <c r="F718" s="220">
        <f t="shared" si="207"/>
        <v>0</v>
      </c>
      <c r="G718" s="220">
        <f t="shared" si="207"/>
        <v>0</v>
      </c>
      <c r="H718" s="220">
        <f t="shared" si="207"/>
        <v>0</v>
      </c>
      <c r="I718" s="220">
        <f t="shared" si="207"/>
        <v>0</v>
      </c>
      <c r="J718" s="220">
        <f t="shared" si="207"/>
        <v>0</v>
      </c>
      <c r="K718" s="220">
        <f t="shared" si="207"/>
        <v>0</v>
      </c>
      <c r="L718" s="220">
        <f t="shared" si="207"/>
        <v>0</v>
      </c>
      <c r="M718" s="220">
        <f t="shared" si="207"/>
        <v>0</v>
      </c>
      <c r="N718" s="221">
        <f t="shared" si="194"/>
        <v>0</v>
      </c>
      <c r="O718" s="221">
        <f t="shared" si="194"/>
        <v>0</v>
      </c>
      <c r="P718" s="238">
        <f>P719+P722+P725+P728+P731+P733+P735+P737</f>
        <v>0</v>
      </c>
    </row>
    <row r="719" spans="1:16" ht="11.25">
      <c r="A719" s="198">
        <v>20100</v>
      </c>
      <c r="B719" s="199" t="s">
        <v>2536</v>
      </c>
      <c r="C719" s="233">
        <v>0</v>
      </c>
      <c r="D719" s="124">
        <v>0</v>
      </c>
      <c r="E719" s="124">
        <v>0</v>
      </c>
      <c r="F719" s="125"/>
      <c r="G719" s="125"/>
      <c r="H719" s="125"/>
      <c r="I719" s="125"/>
      <c r="J719" s="234"/>
      <c r="K719" s="234"/>
      <c r="L719" s="223">
        <v>0</v>
      </c>
      <c r="M719" s="223">
        <v>0</v>
      </c>
      <c r="N719" s="221">
        <f t="shared" si="194"/>
        <v>0</v>
      </c>
      <c r="O719" s="221">
        <f t="shared" si="194"/>
        <v>0</v>
      </c>
      <c r="P719" s="238">
        <f>SUM(P720:P721)</f>
        <v>0</v>
      </c>
    </row>
    <row r="720" spans="1:16" ht="11.25">
      <c r="A720" s="200">
        <v>20147</v>
      </c>
      <c r="B720" s="201" t="s">
        <v>2537</v>
      </c>
      <c r="C720" s="222">
        <v>0</v>
      </c>
      <c r="D720" s="125"/>
      <c r="E720" s="125"/>
      <c r="F720" s="124"/>
      <c r="G720" s="124"/>
      <c r="H720" s="125"/>
      <c r="I720" s="125"/>
      <c r="J720" s="234"/>
      <c r="K720" s="234"/>
      <c r="L720" s="223">
        <v>0</v>
      </c>
      <c r="M720" s="223">
        <v>0</v>
      </c>
      <c r="N720" s="221">
        <f t="shared" si="194"/>
        <v>0</v>
      </c>
      <c r="O720" s="221">
        <f t="shared" si="194"/>
        <v>0</v>
      </c>
      <c r="P720" s="238">
        <f>+C720+L720-M720</f>
        <v>0</v>
      </c>
    </row>
    <row r="721" spans="1:16" ht="11.25">
      <c r="A721" s="200">
        <v>20160</v>
      </c>
      <c r="B721" s="201" t="s">
        <v>2538</v>
      </c>
      <c r="C721" s="222">
        <v>0</v>
      </c>
      <c r="D721" s="125">
        <v>0</v>
      </c>
      <c r="E721" s="125"/>
      <c r="F721" s="125"/>
      <c r="G721" s="125"/>
      <c r="H721" s="125"/>
      <c r="I721" s="125"/>
      <c r="J721" s="234"/>
      <c r="K721" s="234"/>
      <c r="L721" s="223">
        <v>0</v>
      </c>
      <c r="M721" s="223">
        <v>0</v>
      </c>
      <c r="N721" s="221">
        <f t="shared" si="194"/>
        <v>0</v>
      </c>
      <c r="O721" s="221">
        <f t="shared" si="194"/>
        <v>0</v>
      </c>
      <c r="P721" s="238">
        <f>+C721+L721-M721</f>
        <v>0</v>
      </c>
    </row>
    <row r="722" spans="1:16" ht="11.25">
      <c r="A722" s="198">
        <v>20600</v>
      </c>
      <c r="B722" s="199" t="s">
        <v>2539</v>
      </c>
      <c r="C722" s="233">
        <v>0</v>
      </c>
      <c r="D722" s="124">
        <v>0</v>
      </c>
      <c r="E722" s="124">
        <v>0</v>
      </c>
      <c r="F722" s="125"/>
      <c r="G722" s="125"/>
      <c r="H722" s="125"/>
      <c r="I722" s="125"/>
      <c r="J722" s="234"/>
      <c r="K722" s="234"/>
      <c r="L722" s="223">
        <v>0</v>
      </c>
      <c r="M722" s="223">
        <v>0</v>
      </c>
      <c r="N722" s="221">
        <f t="shared" si="194"/>
        <v>0</v>
      </c>
      <c r="O722" s="221">
        <f t="shared" si="194"/>
        <v>0</v>
      </c>
      <c r="P722" s="238">
        <f>SUM(P723:P724)</f>
        <v>0</v>
      </c>
    </row>
    <row r="723" spans="1:16" ht="11.25">
      <c r="A723" s="200">
        <v>20647</v>
      </c>
      <c r="B723" s="201" t="s">
        <v>2537</v>
      </c>
      <c r="C723" s="222">
        <v>0</v>
      </c>
      <c r="D723" s="125"/>
      <c r="E723" s="125"/>
      <c r="F723" s="124"/>
      <c r="G723" s="124"/>
      <c r="H723" s="125"/>
      <c r="I723" s="125"/>
      <c r="J723" s="234"/>
      <c r="K723" s="234"/>
      <c r="L723" s="223">
        <v>0</v>
      </c>
      <c r="M723" s="223">
        <v>0</v>
      </c>
      <c r="N723" s="221">
        <f t="shared" si="194"/>
        <v>0</v>
      </c>
      <c r="O723" s="221">
        <f t="shared" si="194"/>
        <v>0</v>
      </c>
      <c r="P723" s="238">
        <f>+C723+L723-M723</f>
        <v>0</v>
      </c>
    </row>
    <row r="724" spans="1:16" ht="11.25">
      <c r="A724" s="200">
        <v>20660</v>
      </c>
      <c r="B724" s="201" t="s">
        <v>2538</v>
      </c>
      <c r="C724" s="222">
        <v>0</v>
      </c>
      <c r="D724" s="125"/>
      <c r="E724" s="125"/>
      <c r="F724" s="124"/>
      <c r="G724" s="124"/>
      <c r="H724" s="125"/>
      <c r="I724" s="125"/>
      <c r="J724" s="234"/>
      <c r="K724" s="234"/>
      <c r="L724" s="223">
        <v>0</v>
      </c>
      <c r="M724" s="223">
        <v>0</v>
      </c>
      <c r="N724" s="221">
        <f t="shared" si="194"/>
        <v>0</v>
      </c>
      <c r="O724" s="221">
        <f t="shared" si="194"/>
        <v>0</v>
      </c>
      <c r="P724" s="238">
        <f>+C724+L724-M724</f>
        <v>0</v>
      </c>
    </row>
    <row r="725" spans="1:16" ht="11.25">
      <c r="A725" s="198">
        <v>21100</v>
      </c>
      <c r="B725" s="199" t="s">
        <v>2540</v>
      </c>
      <c r="C725" s="233">
        <v>0</v>
      </c>
      <c r="D725" s="124">
        <v>0</v>
      </c>
      <c r="E725" s="124">
        <v>0</v>
      </c>
      <c r="F725" s="125"/>
      <c r="G725" s="125"/>
      <c r="H725" s="125"/>
      <c r="I725" s="125"/>
      <c r="J725" s="234"/>
      <c r="K725" s="234"/>
      <c r="L725" s="223">
        <v>0</v>
      </c>
      <c r="M725" s="223">
        <v>0</v>
      </c>
      <c r="N725" s="221">
        <f t="shared" si="194"/>
        <v>0</v>
      </c>
      <c r="O725" s="221">
        <f t="shared" si="194"/>
        <v>0</v>
      </c>
      <c r="P725" s="238">
        <f>SUM(P726:P727)</f>
        <v>0</v>
      </c>
    </row>
    <row r="726" spans="1:16" ht="11.25">
      <c r="A726" s="200">
        <v>21147</v>
      </c>
      <c r="B726" s="201" t="s">
        <v>2537</v>
      </c>
      <c r="C726" s="222">
        <v>0</v>
      </c>
      <c r="D726" s="125"/>
      <c r="E726" s="125"/>
      <c r="F726" s="125"/>
      <c r="G726" s="125"/>
      <c r="H726" s="125"/>
      <c r="I726" s="125"/>
      <c r="J726" s="234"/>
      <c r="K726" s="234"/>
      <c r="L726" s="223">
        <v>0</v>
      </c>
      <c r="M726" s="223">
        <v>0</v>
      </c>
      <c r="N726" s="221">
        <f t="shared" si="194"/>
        <v>0</v>
      </c>
      <c r="O726" s="221">
        <f t="shared" si="194"/>
        <v>0</v>
      </c>
      <c r="P726" s="238">
        <f>+C726+L726-M726</f>
        <v>0</v>
      </c>
    </row>
    <row r="727" spans="1:16" ht="11.25">
      <c r="A727" s="200">
        <v>21160</v>
      </c>
      <c r="B727" s="201" t="s">
        <v>2538</v>
      </c>
      <c r="C727" s="222">
        <v>0</v>
      </c>
      <c r="D727" s="125"/>
      <c r="E727" s="125"/>
      <c r="F727" s="124"/>
      <c r="G727" s="124"/>
      <c r="H727" s="124"/>
      <c r="I727" s="124"/>
      <c r="J727" s="234"/>
      <c r="K727" s="234"/>
      <c r="L727" s="223">
        <v>0</v>
      </c>
      <c r="M727" s="223">
        <v>0</v>
      </c>
      <c r="N727" s="221">
        <f t="shared" si="194"/>
        <v>0</v>
      </c>
      <c r="O727" s="221">
        <f t="shared" si="194"/>
        <v>0</v>
      </c>
      <c r="P727" s="238">
        <f>+C727+L727-M727</f>
        <v>0</v>
      </c>
    </row>
    <row r="728" spans="1:16" ht="11.25">
      <c r="A728" s="198">
        <v>24100</v>
      </c>
      <c r="B728" s="199" t="s">
        <v>2541</v>
      </c>
      <c r="C728" s="233">
        <v>0</v>
      </c>
      <c r="D728" s="124">
        <v>0</v>
      </c>
      <c r="E728" s="124">
        <v>0</v>
      </c>
      <c r="F728" s="125"/>
      <c r="G728" s="125"/>
      <c r="H728" s="125"/>
      <c r="I728" s="125"/>
      <c r="J728" s="234"/>
      <c r="K728" s="234"/>
      <c r="L728" s="223">
        <v>0</v>
      </c>
      <c r="M728" s="223">
        <v>0</v>
      </c>
      <c r="N728" s="221">
        <f t="shared" si="194"/>
        <v>0</v>
      </c>
      <c r="O728" s="221">
        <f t="shared" si="194"/>
        <v>0</v>
      </c>
      <c r="P728" s="238">
        <f>SUM(P729:P730)</f>
        <v>0</v>
      </c>
    </row>
    <row r="729" spans="1:16" ht="11.25">
      <c r="A729" s="200">
        <v>24102</v>
      </c>
      <c r="B729" s="201" t="s">
        <v>2542</v>
      </c>
      <c r="C729" s="222">
        <v>0</v>
      </c>
      <c r="D729" s="125"/>
      <c r="E729" s="125"/>
      <c r="F729" s="124"/>
      <c r="G729" s="124"/>
      <c r="H729" s="124"/>
      <c r="I729" s="124"/>
      <c r="J729" s="234"/>
      <c r="K729" s="234"/>
      <c r="L729" s="223">
        <v>0</v>
      </c>
      <c r="M729" s="223">
        <v>0</v>
      </c>
      <c r="N729" s="221">
        <f t="shared" si="194"/>
        <v>0</v>
      </c>
      <c r="O729" s="221">
        <f t="shared" si="194"/>
        <v>0</v>
      </c>
      <c r="P729" s="238">
        <f>+C729+L729-M729</f>
        <v>0</v>
      </c>
    </row>
    <row r="730" spans="1:16" ht="11.25">
      <c r="A730" s="200">
        <v>24108</v>
      </c>
      <c r="B730" s="201" t="s">
        <v>2543</v>
      </c>
      <c r="C730" s="222"/>
      <c r="D730" s="125"/>
      <c r="E730" s="125"/>
      <c r="F730" s="125"/>
      <c r="G730" s="125"/>
      <c r="H730" s="125"/>
      <c r="I730" s="125"/>
      <c r="J730" s="234"/>
      <c r="K730" s="234"/>
      <c r="L730" s="223">
        <v>0</v>
      </c>
      <c r="M730" s="223">
        <v>0</v>
      </c>
      <c r="N730" s="221">
        <f t="shared" si="194"/>
        <v>0</v>
      </c>
      <c r="O730" s="221">
        <f t="shared" si="194"/>
        <v>0</v>
      </c>
      <c r="P730" s="238">
        <f>+C730+L730-M730</f>
        <v>0</v>
      </c>
    </row>
    <row r="731" spans="1:16" ht="11.25">
      <c r="A731" s="198">
        <v>24600</v>
      </c>
      <c r="B731" s="199" t="s">
        <v>2544</v>
      </c>
      <c r="C731" s="233">
        <v>0</v>
      </c>
      <c r="D731" s="124">
        <v>0</v>
      </c>
      <c r="E731" s="124">
        <v>0</v>
      </c>
      <c r="F731" s="124"/>
      <c r="G731" s="124"/>
      <c r="H731" s="125"/>
      <c r="I731" s="125"/>
      <c r="J731" s="234"/>
      <c r="K731" s="234"/>
      <c r="L731" s="223">
        <v>0</v>
      </c>
      <c r="M731" s="223">
        <v>0</v>
      </c>
      <c r="N731" s="221">
        <f t="shared" si="194"/>
        <v>0</v>
      </c>
      <c r="O731" s="221">
        <f t="shared" si="194"/>
        <v>0</v>
      </c>
      <c r="P731" s="238">
        <f>P732</f>
        <v>0</v>
      </c>
    </row>
    <row r="732" spans="1:16" ht="11.25">
      <c r="A732" s="200">
        <v>24647</v>
      </c>
      <c r="B732" s="201" t="s">
        <v>2537</v>
      </c>
      <c r="C732" s="222">
        <v>0</v>
      </c>
      <c r="D732" s="125"/>
      <c r="E732" s="125"/>
      <c r="F732" s="124"/>
      <c r="G732" s="124"/>
      <c r="H732" s="125"/>
      <c r="I732" s="125"/>
      <c r="J732" s="234"/>
      <c r="K732" s="234"/>
      <c r="L732" s="223">
        <v>0</v>
      </c>
      <c r="M732" s="223">
        <v>0</v>
      </c>
      <c r="N732" s="221">
        <f t="shared" si="194"/>
        <v>0</v>
      </c>
      <c r="O732" s="221">
        <f t="shared" si="194"/>
        <v>0</v>
      </c>
      <c r="P732" s="238">
        <f>+C732+L732-M732</f>
        <v>0</v>
      </c>
    </row>
    <row r="733" spans="1:16" ht="22.5">
      <c r="A733" s="198">
        <v>25100</v>
      </c>
      <c r="B733" s="199" t="s">
        <v>2545</v>
      </c>
      <c r="C733" s="233">
        <v>0</v>
      </c>
      <c r="D733" s="124">
        <v>0</v>
      </c>
      <c r="E733" s="124">
        <v>0</v>
      </c>
      <c r="F733" s="125"/>
      <c r="G733" s="125"/>
      <c r="H733" s="125"/>
      <c r="I733" s="125"/>
      <c r="J733" s="234"/>
      <c r="K733" s="234"/>
      <c r="L733" s="223">
        <v>0</v>
      </c>
      <c r="M733" s="223">
        <v>0</v>
      </c>
      <c r="N733" s="221">
        <f t="shared" si="194"/>
        <v>0</v>
      </c>
      <c r="O733" s="221">
        <f t="shared" si="194"/>
        <v>0</v>
      </c>
      <c r="P733" s="238">
        <f>P734</f>
        <v>0</v>
      </c>
    </row>
    <row r="734" spans="1:16" ht="11.25">
      <c r="A734" s="200">
        <v>25102</v>
      </c>
      <c r="B734" s="201" t="s">
        <v>2542</v>
      </c>
      <c r="C734" s="222"/>
      <c r="D734" s="125"/>
      <c r="E734" s="125"/>
      <c r="F734" s="124"/>
      <c r="G734" s="124"/>
      <c r="H734" s="125"/>
      <c r="I734" s="125"/>
      <c r="J734" s="234"/>
      <c r="K734" s="234"/>
      <c r="L734" s="223">
        <v>0</v>
      </c>
      <c r="M734" s="223">
        <v>0</v>
      </c>
      <c r="N734" s="221">
        <f t="shared" si="194"/>
        <v>0</v>
      </c>
      <c r="O734" s="221">
        <f t="shared" si="194"/>
        <v>0</v>
      </c>
      <c r="P734" s="238">
        <f>+C734+L734-M734</f>
        <v>0</v>
      </c>
    </row>
    <row r="735" spans="1:16" ht="22.5">
      <c r="A735" s="198">
        <v>25600</v>
      </c>
      <c r="B735" s="199" t="s">
        <v>2546</v>
      </c>
      <c r="C735" s="233">
        <v>0</v>
      </c>
      <c r="D735" s="124">
        <v>0</v>
      </c>
      <c r="E735" s="124">
        <v>0</v>
      </c>
      <c r="F735" s="124"/>
      <c r="G735" s="124"/>
      <c r="H735" s="125"/>
      <c r="I735" s="125"/>
      <c r="J735" s="234"/>
      <c r="K735" s="234"/>
      <c r="L735" s="223">
        <v>0</v>
      </c>
      <c r="M735" s="223">
        <v>0</v>
      </c>
      <c r="N735" s="221">
        <f t="shared" si="194"/>
        <v>0</v>
      </c>
      <c r="O735" s="221">
        <f t="shared" si="194"/>
        <v>0</v>
      </c>
      <c r="P735" s="238">
        <f>P736</f>
        <v>0</v>
      </c>
    </row>
    <row r="736" spans="1:16" ht="11.25">
      <c r="A736" s="200">
        <v>25602</v>
      </c>
      <c r="B736" s="201" t="s">
        <v>2537</v>
      </c>
      <c r="C736" s="222"/>
      <c r="D736" s="125"/>
      <c r="E736" s="125"/>
      <c r="F736" s="125"/>
      <c r="G736" s="125"/>
      <c r="H736" s="125"/>
      <c r="I736" s="125"/>
      <c r="J736" s="234"/>
      <c r="K736" s="234"/>
      <c r="L736" s="223">
        <v>0</v>
      </c>
      <c r="M736" s="223">
        <v>0</v>
      </c>
      <c r="N736" s="221">
        <f t="shared" si="194"/>
        <v>0</v>
      </c>
      <c r="O736" s="221">
        <f t="shared" si="194"/>
        <v>0</v>
      </c>
      <c r="P736" s="238">
        <f>+C736+L736-M736</f>
        <v>0</v>
      </c>
    </row>
    <row r="737" spans="1:16" ht="11.25">
      <c r="A737" s="198">
        <v>26100</v>
      </c>
      <c r="B737" s="199" t="s">
        <v>2544</v>
      </c>
      <c r="C737" s="233">
        <v>0</v>
      </c>
      <c r="D737" s="124">
        <v>0</v>
      </c>
      <c r="E737" s="124">
        <v>0</v>
      </c>
      <c r="F737" s="125"/>
      <c r="G737" s="125"/>
      <c r="H737" s="125"/>
      <c r="I737" s="125"/>
      <c r="J737" s="234"/>
      <c r="K737" s="234"/>
      <c r="L737" s="223">
        <v>0</v>
      </c>
      <c r="M737" s="223">
        <v>0</v>
      </c>
      <c r="N737" s="221">
        <f t="shared" si="194"/>
        <v>0</v>
      </c>
      <c r="O737" s="221">
        <f t="shared" si="194"/>
        <v>0</v>
      </c>
      <c r="P737" s="238">
        <f>P738</f>
        <v>0</v>
      </c>
    </row>
    <row r="738" spans="1:16" ht="11.25">
      <c r="A738" s="200">
        <v>26102</v>
      </c>
      <c r="B738" s="201" t="s">
        <v>2537</v>
      </c>
      <c r="C738" s="222">
        <v>0</v>
      </c>
      <c r="D738" s="125"/>
      <c r="E738" s="125"/>
      <c r="F738" s="125"/>
      <c r="G738" s="125"/>
      <c r="H738" s="125"/>
      <c r="I738" s="125"/>
      <c r="J738" s="234"/>
      <c r="K738" s="234"/>
      <c r="L738" s="223">
        <v>0</v>
      </c>
      <c r="M738" s="223">
        <v>0</v>
      </c>
      <c r="N738" s="221">
        <f t="shared" si="194"/>
        <v>0</v>
      </c>
      <c r="O738" s="221">
        <f t="shared" si="194"/>
        <v>0</v>
      </c>
      <c r="P738" s="238">
        <f>+C738+L738-M738</f>
        <v>0</v>
      </c>
    </row>
    <row r="739" spans="1:16" ht="11.25">
      <c r="A739" s="198">
        <v>30000</v>
      </c>
      <c r="B739" s="185" t="s">
        <v>2547</v>
      </c>
      <c r="C739" s="220">
        <f aca="true" t="shared" si="208" ref="C739:M739">C740+C758+C777+C796+C815+C834</f>
        <v>0</v>
      </c>
      <c r="D739" s="220">
        <f t="shared" si="208"/>
        <v>0</v>
      </c>
      <c r="E739" s="220">
        <f t="shared" si="208"/>
        <v>300063358.9995117</v>
      </c>
      <c r="F739" s="220">
        <f t="shared" si="208"/>
        <v>0</v>
      </c>
      <c r="G739" s="220">
        <f t="shared" si="208"/>
        <v>0</v>
      </c>
      <c r="H739" s="220">
        <f t="shared" si="208"/>
        <v>0</v>
      </c>
      <c r="I739" s="220">
        <f t="shared" si="208"/>
        <v>0</v>
      </c>
      <c r="J739" s="220">
        <f t="shared" si="208"/>
        <v>21772614615742.02</v>
      </c>
      <c r="K739" s="220">
        <f t="shared" si="208"/>
        <v>21772614615742.02</v>
      </c>
      <c r="L739" s="220">
        <f t="shared" si="208"/>
        <v>8638458196</v>
      </c>
      <c r="M739" s="220">
        <f t="shared" si="208"/>
        <v>8638458196</v>
      </c>
      <c r="N739" s="221">
        <f t="shared" si="194"/>
        <v>21772614615742.02</v>
      </c>
      <c r="O739" s="221">
        <f t="shared" si="194"/>
        <v>21772614615742.02</v>
      </c>
      <c r="P739" s="238">
        <f>P740+P758+P777+P796+P815+P834</f>
        <v>0</v>
      </c>
    </row>
    <row r="740" spans="1:16" ht="11.25">
      <c r="A740" s="198">
        <v>30500</v>
      </c>
      <c r="B740" s="124" t="s">
        <v>2548</v>
      </c>
      <c r="C740" s="220">
        <f aca="true" t="shared" si="209" ref="C740:M740">SUM(C741:C757)</f>
        <v>-13130348417</v>
      </c>
      <c r="D740" s="220">
        <f t="shared" si="209"/>
        <v>0</v>
      </c>
      <c r="E740" s="220">
        <f t="shared" si="209"/>
        <v>-9517313236</v>
      </c>
      <c r="F740" s="220">
        <f t="shared" si="209"/>
        <v>0</v>
      </c>
      <c r="G740" s="220">
        <f t="shared" si="209"/>
        <v>0</v>
      </c>
      <c r="H740" s="220">
        <f t="shared" si="209"/>
        <v>0</v>
      </c>
      <c r="I740" s="220">
        <f t="shared" si="209"/>
        <v>0</v>
      </c>
      <c r="J740" s="220">
        <f t="shared" si="209"/>
        <v>13198730264213</v>
      </c>
      <c r="K740" s="220">
        <f t="shared" si="209"/>
        <v>68381840068</v>
      </c>
      <c r="L740" s="220">
        <f t="shared" si="209"/>
        <v>64573840</v>
      </c>
      <c r="M740" s="220">
        <f t="shared" si="209"/>
        <v>68381844</v>
      </c>
      <c r="N740" s="221">
        <f t="shared" si="194"/>
        <v>13198730264213</v>
      </c>
      <c r="O740" s="221">
        <f t="shared" si="194"/>
        <v>68381840068</v>
      </c>
      <c r="P740" s="238">
        <f>SUM(P741:P757)</f>
        <v>-13134156421</v>
      </c>
    </row>
    <row r="741" spans="1:23" ht="11.25">
      <c r="A741" s="200">
        <v>30511</v>
      </c>
      <c r="B741" s="125" t="s">
        <v>2549</v>
      </c>
      <c r="C741" s="184">
        <v>-12330183</v>
      </c>
      <c r="D741" s="125">
        <v>0</v>
      </c>
      <c r="E741" s="125">
        <v>1018654337</v>
      </c>
      <c r="F741" s="125"/>
      <c r="G741" s="125"/>
      <c r="H741" s="125"/>
      <c r="I741" s="125"/>
      <c r="J741" s="224">
        <v>12330184851</v>
      </c>
      <c r="K741" s="224">
        <v>0</v>
      </c>
      <c r="L741" s="223"/>
      <c r="M741" s="223">
        <v>0</v>
      </c>
      <c r="N741" s="221">
        <f t="shared" si="194"/>
        <v>12330184851</v>
      </c>
      <c r="O741" s="221">
        <f t="shared" si="194"/>
        <v>0</v>
      </c>
      <c r="P741" s="239">
        <f>+C741+L741-M741</f>
        <v>-12330183</v>
      </c>
      <c r="S741" s="164"/>
      <c r="V741" s="164"/>
      <c r="W741" s="181"/>
    </row>
    <row r="742" spans="1:23" ht="11.25">
      <c r="A742" s="200">
        <v>30512</v>
      </c>
      <c r="B742" s="125" t="s">
        <v>2550</v>
      </c>
      <c r="C742" s="184">
        <v>-461555</v>
      </c>
      <c r="D742" s="125">
        <v>0</v>
      </c>
      <c r="E742" s="125">
        <v>1686195573</v>
      </c>
      <c r="F742" s="125"/>
      <c r="G742" s="125"/>
      <c r="H742" s="124"/>
      <c r="I742" s="124"/>
      <c r="J742" s="224">
        <v>1085556134</v>
      </c>
      <c r="K742" s="224">
        <v>624000000</v>
      </c>
      <c r="L742" s="223"/>
      <c r="M742" s="223">
        <f>624000+0.5+0.5</f>
        <v>624001</v>
      </c>
      <c r="N742" s="221">
        <f t="shared" si="194"/>
        <v>1085556134</v>
      </c>
      <c r="O742" s="221">
        <f t="shared" si="194"/>
        <v>624000000</v>
      </c>
      <c r="P742" s="239">
        <v>-1085556</v>
      </c>
      <c r="S742" s="164"/>
      <c r="V742" s="164"/>
      <c r="W742" s="181"/>
    </row>
    <row r="743" spans="1:23" ht="22.5">
      <c r="A743" s="200">
        <v>30513</v>
      </c>
      <c r="B743" s="125" t="s">
        <v>2551</v>
      </c>
      <c r="C743" s="184">
        <v>-1104415</v>
      </c>
      <c r="D743" s="125">
        <v>0</v>
      </c>
      <c r="E743" s="125">
        <v>-135215810</v>
      </c>
      <c r="F743" s="125"/>
      <c r="G743" s="125"/>
      <c r="H743" s="125"/>
      <c r="I743" s="125"/>
      <c r="J743" s="224">
        <v>1619414170</v>
      </c>
      <c r="K743" s="224">
        <v>515000000</v>
      </c>
      <c r="L743" s="223"/>
      <c r="M743" s="223">
        <v>515000</v>
      </c>
      <c r="N743" s="221">
        <f t="shared" si="194"/>
        <v>1619414170</v>
      </c>
      <c r="O743" s="221">
        <f t="shared" si="194"/>
        <v>515000000</v>
      </c>
      <c r="P743" s="239">
        <f>+C743+L743-M743</f>
        <v>-1619415</v>
      </c>
      <c r="S743" s="164"/>
      <c r="V743" s="164"/>
      <c r="W743" s="181"/>
    </row>
    <row r="744" spans="1:23" ht="22.5">
      <c r="A744" s="200">
        <v>30514</v>
      </c>
      <c r="B744" s="125" t="s">
        <v>2552</v>
      </c>
      <c r="C744" s="184">
        <v>-2769783</v>
      </c>
      <c r="D744" s="125">
        <v>0</v>
      </c>
      <c r="E744" s="125">
        <v>164517361</v>
      </c>
      <c r="F744" s="124"/>
      <c r="G744" s="124"/>
      <c r="H744" s="125"/>
      <c r="I744" s="125"/>
      <c r="J744" s="224">
        <v>3284781717</v>
      </c>
      <c r="K744" s="224">
        <v>515000000</v>
      </c>
      <c r="L744" s="223">
        <f>3284782-2254781</f>
        <v>1030001</v>
      </c>
      <c r="M744" s="223">
        <v>515000</v>
      </c>
      <c r="N744" s="221">
        <f t="shared" si="194"/>
        <v>3284781717</v>
      </c>
      <c r="O744" s="221">
        <f t="shared" si="194"/>
        <v>515000000</v>
      </c>
      <c r="P744" s="239">
        <f>+C744+L744-M744</f>
        <v>-2254782</v>
      </c>
      <c r="S744" s="164"/>
      <c r="V744" s="164"/>
      <c r="W744" s="181"/>
    </row>
    <row r="745" spans="1:23" ht="11.25">
      <c r="A745" s="200">
        <v>30515</v>
      </c>
      <c r="B745" s="125" t="s">
        <v>2553</v>
      </c>
      <c r="C745" s="184">
        <v>-365722</v>
      </c>
      <c r="D745" s="125">
        <v>0</v>
      </c>
      <c r="E745" s="125">
        <v>1479539569</v>
      </c>
      <c r="F745" s="125"/>
      <c r="G745" s="125"/>
      <c r="H745" s="125"/>
      <c r="I745" s="125"/>
      <c r="J745" s="224">
        <v>559544121</v>
      </c>
      <c r="K745" s="224">
        <v>193823514</v>
      </c>
      <c r="L745" s="223"/>
      <c r="M745" s="223">
        <f>193822-0.5+0.5</f>
        <v>193822</v>
      </c>
      <c r="N745" s="221">
        <f t="shared" si="194"/>
        <v>559544121</v>
      </c>
      <c r="O745" s="221">
        <f t="shared" si="194"/>
        <v>193823514</v>
      </c>
      <c r="P745" s="239">
        <f>+C745+L745-M745</f>
        <v>-559544</v>
      </c>
      <c r="S745" s="164"/>
      <c r="V745" s="164"/>
      <c r="W745" s="181"/>
    </row>
    <row r="746" spans="1:23" ht="11.25">
      <c r="A746" s="200">
        <v>30516</v>
      </c>
      <c r="B746" s="125" t="s">
        <v>2554</v>
      </c>
      <c r="C746" s="184">
        <v>-2188199</v>
      </c>
      <c r="D746" s="125">
        <v>0</v>
      </c>
      <c r="E746" s="125">
        <v>723861800</v>
      </c>
      <c r="F746" s="125"/>
      <c r="G746" s="125"/>
      <c r="H746" s="125"/>
      <c r="I746" s="125"/>
      <c r="J746" s="224">
        <v>2250523514</v>
      </c>
      <c r="K746" s="224">
        <v>62323514</v>
      </c>
      <c r="L746" s="223">
        <f>2250524-2125877</f>
        <v>124647</v>
      </c>
      <c r="M746" s="223">
        <f>62324+0.5+0.5</f>
        <v>62325</v>
      </c>
      <c r="N746" s="221">
        <f t="shared" si="194"/>
        <v>2250523514</v>
      </c>
      <c r="O746" s="221">
        <f t="shared" si="194"/>
        <v>62323514</v>
      </c>
      <c r="P746" s="239">
        <v>-2125877</v>
      </c>
      <c r="S746" s="164"/>
      <c r="V746" s="164"/>
      <c r="W746" s="181"/>
    </row>
    <row r="747" spans="1:23" ht="11.25">
      <c r="A747" s="200">
        <v>30517</v>
      </c>
      <c r="B747" s="125" t="s">
        <v>2555</v>
      </c>
      <c r="C747" s="184">
        <v>-35726</v>
      </c>
      <c r="D747" s="125">
        <v>0</v>
      </c>
      <c r="E747" s="125">
        <v>54826774</v>
      </c>
      <c r="F747" s="124"/>
      <c r="G747" s="124"/>
      <c r="H747" s="125"/>
      <c r="I747" s="125"/>
      <c r="J747" s="224">
        <v>121225918</v>
      </c>
      <c r="K747" s="224">
        <v>85500000</v>
      </c>
      <c r="L747" s="223"/>
      <c r="M747" s="223">
        <v>85500</v>
      </c>
      <c r="N747" s="221">
        <f t="shared" si="194"/>
        <v>121225918</v>
      </c>
      <c r="O747" s="221">
        <f t="shared" si="194"/>
        <v>85500000</v>
      </c>
      <c r="P747" s="239">
        <f>+C747+L747-M747</f>
        <v>-121226</v>
      </c>
      <c r="S747" s="164"/>
      <c r="V747" s="164"/>
      <c r="W747" s="181"/>
    </row>
    <row r="748" spans="1:23" ht="11.25">
      <c r="A748" s="200" t="s">
        <v>2556</v>
      </c>
      <c r="B748" s="125" t="s">
        <v>2538</v>
      </c>
      <c r="C748" s="184">
        <v>-36118642</v>
      </c>
      <c r="D748" s="125">
        <v>0</v>
      </c>
      <c r="E748" s="125">
        <v>-1434718643</v>
      </c>
      <c r="F748" s="125"/>
      <c r="G748" s="125"/>
      <c r="H748" s="124"/>
      <c r="I748" s="124"/>
      <c r="J748" s="224">
        <v>43806609453</v>
      </c>
      <c r="K748" s="224">
        <v>7687966590</v>
      </c>
      <c r="L748" s="223"/>
      <c r="M748" s="223">
        <v>7687967</v>
      </c>
      <c r="N748" s="221">
        <f t="shared" si="194"/>
        <v>43806609453</v>
      </c>
      <c r="O748" s="221">
        <f t="shared" si="194"/>
        <v>7687966590</v>
      </c>
      <c r="P748" s="239">
        <f>+C748+L748-M748</f>
        <v>-43806609</v>
      </c>
      <c r="S748" s="164"/>
      <c r="V748" s="164"/>
      <c r="W748" s="181"/>
    </row>
    <row r="749" spans="1:23" ht="11.25">
      <c r="A749" s="200">
        <v>30521</v>
      </c>
      <c r="B749" s="125" t="s">
        <v>2557</v>
      </c>
      <c r="C749" s="184">
        <v>-2238140</v>
      </c>
      <c r="D749" s="125">
        <v>0</v>
      </c>
      <c r="E749" s="125">
        <v>-2238141</v>
      </c>
      <c r="F749" s="125"/>
      <c r="G749" s="125"/>
      <c r="H749" s="125"/>
      <c r="I749" s="125"/>
      <c r="J749" s="224">
        <v>2267304782</v>
      </c>
      <c r="K749" s="224">
        <v>29163183</v>
      </c>
      <c r="L749" s="223"/>
      <c r="M749" s="223">
        <f>29164+0.5+0.5</f>
        <v>29165</v>
      </c>
      <c r="N749" s="221">
        <f t="shared" si="194"/>
        <v>2267304782</v>
      </c>
      <c r="O749" s="221">
        <f t="shared" si="194"/>
        <v>29163183</v>
      </c>
      <c r="P749" s="239">
        <v>-2267305</v>
      </c>
      <c r="S749" s="164"/>
      <c r="V749" s="164"/>
      <c r="W749" s="181"/>
    </row>
    <row r="750" spans="1:23" ht="22.5">
      <c r="A750" s="200">
        <v>30532</v>
      </c>
      <c r="B750" s="125" t="s">
        <v>2558</v>
      </c>
      <c r="C750" s="184">
        <v>-3942052</v>
      </c>
      <c r="D750" s="125">
        <v>0</v>
      </c>
      <c r="E750" s="125">
        <v>-3942052</v>
      </c>
      <c r="F750" s="124"/>
      <c r="G750" s="124"/>
      <c r="H750" s="125"/>
      <c r="I750" s="125"/>
      <c r="J750" s="224">
        <v>4172051655</v>
      </c>
      <c r="K750" s="224">
        <v>230000000</v>
      </c>
      <c r="L750" s="223"/>
      <c r="M750" s="223">
        <v>230000</v>
      </c>
      <c r="N750" s="221">
        <f t="shared" si="194"/>
        <v>4172051655</v>
      </c>
      <c r="O750" s="221">
        <f t="shared" si="194"/>
        <v>230000000</v>
      </c>
      <c r="P750" s="239">
        <f>+C750+L750-M750</f>
        <v>-4172052</v>
      </c>
      <c r="S750" s="164"/>
      <c r="V750" s="164"/>
      <c r="W750" s="181"/>
    </row>
    <row r="751" spans="1:23" ht="11.25">
      <c r="A751" s="200">
        <v>30534</v>
      </c>
      <c r="B751" s="125" t="s">
        <v>2559</v>
      </c>
      <c r="C751" s="184">
        <v>-807198</v>
      </c>
      <c r="D751" s="125">
        <v>0</v>
      </c>
      <c r="E751" s="125">
        <v>-807198</v>
      </c>
      <c r="F751" s="124"/>
      <c r="G751" s="124"/>
      <c r="H751" s="124"/>
      <c r="I751" s="124"/>
      <c r="J751" s="224">
        <v>807198790</v>
      </c>
      <c r="K751" s="224">
        <v>0</v>
      </c>
      <c r="L751" s="223"/>
      <c r="M751" s="223">
        <v>0</v>
      </c>
      <c r="N751" s="221">
        <f t="shared" si="194"/>
        <v>807198790</v>
      </c>
      <c r="O751" s="221">
        <f t="shared" si="194"/>
        <v>0</v>
      </c>
      <c r="P751" s="239">
        <f>+C751+L751-M751</f>
        <v>-807198</v>
      </c>
      <c r="S751" s="164"/>
      <c r="V751" s="164"/>
      <c r="W751" s="181"/>
    </row>
    <row r="752" spans="1:23" ht="11.25">
      <c r="A752" s="200">
        <v>30538</v>
      </c>
      <c r="B752" s="125" t="s">
        <v>2560</v>
      </c>
      <c r="C752" s="184">
        <v>-2070498543</v>
      </c>
      <c r="D752" s="125">
        <v>0</v>
      </c>
      <c r="E752" s="125">
        <v>-2070498547</v>
      </c>
      <c r="F752" s="125"/>
      <c r="G752" s="125"/>
      <c r="H752" s="125"/>
      <c r="I752" s="125"/>
      <c r="J752" s="224">
        <v>2098910146915</v>
      </c>
      <c r="K752" s="224">
        <v>28411600000</v>
      </c>
      <c r="L752" s="223">
        <f>2098910147-2042086947-2</f>
        <v>56823198</v>
      </c>
      <c r="M752" s="223">
        <f>28411600</f>
        <v>28411600</v>
      </c>
      <c r="N752" s="221">
        <f t="shared" si="194"/>
        <v>2098910146915</v>
      </c>
      <c r="O752" s="221">
        <f t="shared" si="194"/>
        <v>28411600000</v>
      </c>
      <c r="P752" s="239">
        <v>-2042086945</v>
      </c>
      <c r="S752" s="164"/>
      <c r="V752" s="164"/>
      <c r="W752" s="181"/>
    </row>
    <row r="753" spans="1:23" ht="11.25">
      <c r="A753" s="200">
        <v>30543</v>
      </c>
      <c r="B753" s="125" t="s">
        <v>2561</v>
      </c>
      <c r="C753" s="184">
        <v>-6945579</v>
      </c>
      <c r="D753" s="125">
        <v>0</v>
      </c>
      <c r="E753" s="125">
        <v>-6945579</v>
      </c>
      <c r="F753" s="125"/>
      <c r="G753" s="125"/>
      <c r="H753" s="125"/>
      <c r="I753" s="125"/>
      <c r="J753" s="224">
        <v>9067524726</v>
      </c>
      <c r="K753" s="224">
        <v>2121945457</v>
      </c>
      <c r="L753" s="223"/>
      <c r="M753" s="223">
        <v>2121946</v>
      </c>
      <c r="N753" s="221">
        <f aca="true" t="shared" si="210" ref="N753:O816">+F753+H753+J753</f>
        <v>9067524726</v>
      </c>
      <c r="O753" s="221">
        <f t="shared" si="210"/>
        <v>2121945457</v>
      </c>
      <c r="P753" s="239">
        <f>+C753+L753-M753</f>
        <v>-9067525</v>
      </c>
      <c r="S753" s="164"/>
      <c r="V753" s="164"/>
      <c r="W753" s="181"/>
    </row>
    <row r="754" spans="1:23" ht="11.25">
      <c r="A754" s="200">
        <v>30544</v>
      </c>
      <c r="B754" s="125" t="s">
        <v>2562</v>
      </c>
      <c r="C754" s="184">
        <v>-5200000</v>
      </c>
      <c r="D754" s="125">
        <v>0</v>
      </c>
      <c r="E754" s="125">
        <v>-5200000</v>
      </c>
      <c r="F754" s="125"/>
      <c r="G754" s="125"/>
      <c r="H754" s="124"/>
      <c r="I754" s="124"/>
      <c r="J754" s="224">
        <v>7780000000</v>
      </c>
      <c r="K754" s="224">
        <v>2580000000</v>
      </c>
      <c r="L754" s="223">
        <f>7780000-2620000-0.5+0.5</f>
        <v>5160000</v>
      </c>
      <c r="M754" s="223">
        <v>2580000</v>
      </c>
      <c r="N754" s="221">
        <f t="shared" si="210"/>
        <v>7780000000</v>
      </c>
      <c r="O754" s="221">
        <f t="shared" si="210"/>
        <v>2580000000</v>
      </c>
      <c r="P754" s="239">
        <f>+C754+L754-M754</f>
        <v>-2620000</v>
      </c>
      <c r="S754" s="164"/>
      <c r="V754" s="164"/>
      <c r="W754" s="181"/>
    </row>
    <row r="755" spans="1:23" ht="11.25">
      <c r="A755" s="200">
        <v>30546</v>
      </c>
      <c r="B755" s="125" t="s">
        <v>2563</v>
      </c>
      <c r="C755" s="184">
        <v>-1447252826</v>
      </c>
      <c r="D755" s="125">
        <v>0</v>
      </c>
      <c r="E755" s="125">
        <v>-1447252826</v>
      </c>
      <c r="F755" s="125"/>
      <c r="G755" s="125"/>
      <c r="H755" s="124"/>
      <c r="I755" s="124"/>
      <c r="J755" s="224">
        <v>1471860347160</v>
      </c>
      <c r="K755" s="224">
        <v>24607521290</v>
      </c>
      <c r="L755" s="223"/>
      <c r="M755" s="223">
        <v>24607521</v>
      </c>
      <c r="N755" s="221">
        <f t="shared" si="210"/>
        <v>1471860347160</v>
      </c>
      <c r="O755" s="221">
        <f t="shared" si="210"/>
        <v>24607521290</v>
      </c>
      <c r="P755" s="239">
        <f>+C755+L755-M755</f>
        <v>-1471860347</v>
      </c>
      <c r="S755" s="164"/>
      <c r="V755" s="164"/>
      <c r="W755" s="181"/>
    </row>
    <row r="756" spans="1:23" ht="11.25">
      <c r="A756" s="200">
        <v>30558</v>
      </c>
      <c r="B756" s="125" t="s">
        <v>2564</v>
      </c>
      <c r="C756" s="184">
        <v>-367727709</v>
      </c>
      <c r="D756" s="125">
        <v>0</v>
      </c>
      <c r="E756" s="125">
        <v>-367727709</v>
      </c>
      <c r="F756" s="125"/>
      <c r="G756" s="125"/>
      <c r="H756" s="125"/>
      <c r="I756" s="125"/>
      <c r="J756" s="224">
        <v>367727708879</v>
      </c>
      <c r="K756" s="224">
        <v>0</v>
      </c>
      <c r="L756" s="223"/>
      <c r="M756" s="223">
        <v>0</v>
      </c>
      <c r="N756" s="221">
        <f t="shared" si="210"/>
        <v>367727708879</v>
      </c>
      <c r="O756" s="221">
        <f t="shared" si="210"/>
        <v>0</v>
      </c>
      <c r="P756" s="239">
        <f>+C756+L756-M756</f>
        <v>-367727709</v>
      </c>
      <c r="S756" s="164"/>
      <c r="V756" s="164"/>
      <c r="W756" s="181"/>
    </row>
    <row r="757" spans="1:23" ht="11.25">
      <c r="A757" s="200">
        <v>30591</v>
      </c>
      <c r="B757" s="125" t="s">
        <v>2565</v>
      </c>
      <c r="C757" s="184">
        <v>-9170362145</v>
      </c>
      <c r="D757" s="125">
        <v>0</v>
      </c>
      <c r="E757" s="125">
        <v>-9170362145</v>
      </c>
      <c r="F757" s="125"/>
      <c r="G757" s="125"/>
      <c r="H757" s="125"/>
      <c r="I757" s="125"/>
      <c r="J757" s="224">
        <v>9171080141428</v>
      </c>
      <c r="K757" s="224">
        <v>717996520</v>
      </c>
      <c r="L757" s="223">
        <f>9171080141-9169644147</f>
        <v>1435994</v>
      </c>
      <c r="M757" s="223">
        <v>717997</v>
      </c>
      <c r="N757" s="221">
        <f t="shared" si="210"/>
        <v>9171080141428</v>
      </c>
      <c r="O757" s="221">
        <f t="shared" si="210"/>
        <v>717996520</v>
      </c>
      <c r="P757" s="239">
        <f>+C757+L757-M757</f>
        <v>-9169644148</v>
      </c>
      <c r="S757" s="164"/>
      <c r="V757" s="164"/>
      <c r="W757" s="181"/>
    </row>
    <row r="758" spans="1:16" ht="11.25">
      <c r="A758" s="198">
        <v>31000</v>
      </c>
      <c r="B758" s="124" t="s">
        <v>2566</v>
      </c>
      <c r="C758" s="220">
        <f aca="true" t="shared" si="211" ref="C758:M758">SUM(C759:C776)</f>
        <v>1166906774</v>
      </c>
      <c r="D758" s="220">
        <f t="shared" si="211"/>
        <v>0</v>
      </c>
      <c r="E758" s="220">
        <f t="shared" si="211"/>
        <v>-202500217396.06</v>
      </c>
      <c r="F758" s="220">
        <f t="shared" si="211"/>
        <v>0</v>
      </c>
      <c r="G758" s="220">
        <f t="shared" si="211"/>
        <v>0</v>
      </c>
      <c r="H758" s="220">
        <f t="shared" si="211"/>
        <v>0</v>
      </c>
      <c r="I758" s="220">
        <f t="shared" si="211"/>
        <v>0</v>
      </c>
      <c r="J758" s="220">
        <f t="shared" si="211"/>
        <v>1103077831740.05</v>
      </c>
      <c r="K758" s="220">
        <f t="shared" si="211"/>
        <v>2269984603860.38</v>
      </c>
      <c r="L758" s="220">
        <f t="shared" si="211"/>
        <v>1103077830</v>
      </c>
      <c r="M758" s="220">
        <f t="shared" si="211"/>
        <v>2204978367</v>
      </c>
      <c r="N758" s="221">
        <f t="shared" si="210"/>
        <v>1103077831740.05</v>
      </c>
      <c r="O758" s="221">
        <f t="shared" si="210"/>
        <v>2269984603860.38</v>
      </c>
      <c r="P758" s="238">
        <f>SUM(P759:P776)</f>
        <v>65006237</v>
      </c>
    </row>
    <row r="759" spans="1:22" ht="11.25">
      <c r="A759" s="200">
        <v>31011</v>
      </c>
      <c r="B759" s="125" t="s">
        <v>2549</v>
      </c>
      <c r="C759" s="184">
        <v>281603</v>
      </c>
      <c r="D759" s="124">
        <v>0</v>
      </c>
      <c r="E759" s="124">
        <v>-280146246</v>
      </c>
      <c r="F759" s="124"/>
      <c r="G759" s="124"/>
      <c r="H759" s="125"/>
      <c r="I759" s="125"/>
      <c r="J759" s="224">
        <v>358883335</v>
      </c>
      <c r="K759" s="224">
        <v>640486085</v>
      </c>
      <c r="L759" s="223">
        <v>358881</v>
      </c>
      <c r="M759" s="223"/>
      <c r="N759" s="221">
        <f t="shared" si="210"/>
        <v>358883335</v>
      </c>
      <c r="O759" s="221">
        <f t="shared" si="210"/>
        <v>640486085</v>
      </c>
      <c r="P759" s="239">
        <f>+C759+L759-M759</f>
        <v>640484</v>
      </c>
      <c r="S759" s="164"/>
      <c r="V759" s="164"/>
    </row>
    <row r="760" spans="1:16" ht="11.25">
      <c r="A760" s="200">
        <v>31012</v>
      </c>
      <c r="B760" s="125" t="s">
        <v>2550</v>
      </c>
      <c r="C760" s="184">
        <v>3633</v>
      </c>
      <c r="D760" s="125">
        <v>0</v>
      </c>
      <c r="E760" s="125">
        <v>-447969301</v>
      </c>
      <c r="F760" s="124"/>
      <c r="G760" s="124"/>
      <c r="H760" s="125"/>
      <c r="I760" s="125"/>
      <c r="J760" s="224">
        <v>104408657</v>
      </c>
      <c r="K760" s="224">
        <v>108040712</v>
      </c>
      <c r="L760" s="223">
        <f>104407-0.5+0.5</f>
        <v>104407</v>
      </c>
      <c r="M760" s="223"/>
      <c r="N760" s="221">
        <f t="shared" si="210"/>
        <v>104408657</v>
      </c>
      <c r="O760" s="221">
        <f t="shared" si="210"/>
        <v>108040712</v>
      </c>
      <c r="P760" s="239">
        <f>+C760+L760-M760</f>
        <v>108040</v>
      </c>
    </row>
    <row r="761" spans="1:16" ht="11.25">
      <c r="A761" s="200">
        <v>31013</v>
      </c>
      <c r="B761" s="125" t="s">
        <v>2551</v>
      </c>
      <c r="C761" s="184">
        <v>0</v>
      </c>
      <c r="D761" s="125">
        <v>0</v>
      </c>
      <c r="E761" s="125">
        <v>0</v>
      </c>
      <c r="F761" s="125"/>
      <c r="G761" s="125"/>
      <c r="H761" s="125"/>
      <c r="I761" s="125"/>
      <c r="J761" s="224">
        <v>125357192</v>
      </c>
      <c r="K761" s="224">
        <v>125357192</v>
      </c>
      <c r="L761" s="223">
        <v>125358</v>
      </c>
      <c r="M761" s="223"/>
      <c r="N761" s="221">
        <f t="shared" si="210"/>
        <v>125357192</v>
      </c>
      <c r="O761" s="221">
        <f t="shared" si="210"/>
        <v>125357192</v>
      </c>
      <c r="P761" s="239">
        <f>+C761+L761-M761</f>
        <v>125358</v>
      </c>
    </row>
    <row r="762" spans="1:16" ht="11.25">
      <c r="A762" s="200">
        <v>31014</v>
      </c>
      <c r="B762" s="125" t="s">
        <v>2552</v>
      </c>
      <c r="C762" s="184">
        <v>515250</v>
      </c>
      <c r="D762" s="125">
        <v>0</v>
      </c>
      <c r="E762" s="125">
        <v>515248000</v>
      </c>
      <c r="F762" s="124"/>
      <c r="G762" s="124"/>
      <c r="H762" s="125"/>
      <c r="I762" s="125"/>
      <c r="J762" s="224">
        <v>272642430</v>
      </c>
      <c r="K762" s="224">
        <v>787892430</v>
      </c>
      <c r="L762" s="223">
        <v>272641</v>
      </c>
      <c r="M762" s="223">
        <f>787892-242609</f>
        <v>545283</v>
      </c>
      <c r="N762" s="221">
        <f t="shared" si="210"/>
        <v>272642430</v>
      </c>
      <c r="O762" s="221">
        <f t="shared" si="210"/>
        <v>787892430</v>
      </c>
      <c r="P762" s="239">
        <f>+C762+L762-M762</f>
        <v>242608</v>
      </c>
    </row>
    <row r="763" spans="1:16" ht="11.25">
      <c r="A763" s="200">
        <v>31015</v>
      </c>
      <c r="B763" s="125" t="s">
        <v>2553</v>
      </c>
      <c r="C763" s="184">
        <v>21496</v>
      </c>
      <c r="D763" s="125">
        <v>0</v>
      </c>
      <c r="E763" s="125">
        <v>-678035695</v>
      </c>
      <c r="F763" s="125"/>
      <c r="G763" s="125"/>
      <c r="H763" s="124"/>
      <c r="I763" s="124"/>
      <c r="J763" s="224">
        <v>21494909.57</v>
      </c>
      <c r="K763" s="224">
        <v>42990516.57</v>
      </c>
      <c r="L763" s="223">
        <f>21495+0.5+0.5</f>
        <v>21496</v>
      </c>
      <c r="M763" s="223">
        <f>42991-1</f>
        <v>42990</v>
      </c>
      <c r="N763" s="221">
        <f t="shared" si="210"/>
        <v>21494909.57</v>
      </c>
      <c r="O763" s="221">
        <f t="shared" si="210"/>
        <v>42990516.57</v>
      </c>
      <c r="P763" s="238">
        <v>1</v>
      </c>
    </row>
    <row r="764" spans="1:16" ht="11.25">
      <c r="A764" s="200">
        <v>31016</v>
      </c>
      <c r="B764" s="125" t="s">
        <v>2554</v>
      </c>
      <c r="C764" s="184">
        <v>491788</v>
      </c>
      <c r="D764" s="125">
        <v>0</v>
      </c>
      <c r="E764" s="125">
        <v>-597313514.51</v>
      </c>
      <c r="F764" s="125"/>
      <c r="G764" s="125"/>
      <c r="H764" s="124"/>
      <c r="I764" s="124"/>
      <c r="J764" s="224">
        <v>455051135.76</v>
      </c>
      <c r="K764" s="224">
        <v>946838868.57</v>
      </c>
      <c r="L764" s="223">
        <f>455050-0.5+0.5</f>
        <v>455050</v>
      </c>
      <c r="M764" s="223">
        <f>946839-36738</f>
        <v>910101</v>
      </c>
      <c r="N764" s="221">
        <f t="shared" si="210"/>
        <v>455051135.76</v>
      </c>
      <c r="O764" s="221">
        <f t="shared" si="210"/>
        <v>946838868.57</v>
      </c>
      <c r="P764" s="238">
        <f aca="true" t="shared" si="212" ref="P764:P772">+C764+L764-M764</f>
        <v>36737</v>
      </c>
    </row>
    <row r="765" spans="1:16" ht="11.25">
      <c r="A765" s="200">
        <v>31017</v>
      </c>
      <c r="B765" s="125" t="s">
        <v>2555</v>
      </c>
      <c r="C765" s="184">
        <v>7344</v>
      </c>
      <c r="D765" s="125">
        <v>0</v>
      </c>
      <c r="E765" s="125">
        <v>-41472028.15</v>
      </c>
      <c r="F765" s="125"/>
      <c r="G765" s="125"/>
      <c r="H765" s="125"/>
      <c r="I765" s="125"/>
      <c r="J765" s="224">
        <v>6080322</v>
      </c>
      <c r="K765" s="224">
        <v>13424240</v>
      </c>
      <c r="L765" s="223">
        <v>6080</v>
      </c>
      <c r="M765" s="223">
        <f>13424-1264</f>
        <v>12160</v>
      </c>
      <c r="N765" s="221">
        <f t="shared" si="210"/>
        <v>6080322</v>
      </c>
      <c r="O765" s="221">
        <f t="shared" si="210"/>
        <v>13424240</v>
      </c>
      <c r="P765" s="238">
        <f t="shared" si="212"/>
        <v>1264</v>
      </c>
    </row>
    <row r="766" spans="1:16" ht="11.25">
      <c r="A766" s="200">
        <v>31018</v>
      </c>
      <c r="B766" s="125" t="s">
        <v>2567</v>
      </c>
      <c r="C766" s="184">
        <v>0</v>
      </c>
      <c r="D766" s="125">
        <v>0</v>
      </c>
      <c r="E766" s="125">
        <v>0</v>
      </c>
      <c r="F766" s="125"/>
      <c r="G766" s="125"/>
      <c r="H766" s="124"/>
      <c r="I766" s="124"/>
      <c r="J766" s="224"/>
      <c r="K766" s="224"/>
      <c r="L766" s="223">
        <v>0</v>
      </c>
      <c r="M766" s="223">
        <v>0</v>
      </c>
      <c r="N766" s="221">
        <f t="shared" si="210"/>
        <v>0</v>
      </c>
      <c r="O766" s="221">
        <f t="shared" si="210"/>
        <v>0</v>
      </c>
      <c r="P766" s="238">
        <f t="shared" si="212"/>
        <v>0</v>
      </c>
    </row>
    <row r="767" spans="1:16" ht="11.25">
      <c r="A767" s="200">
        <v>31020</v>
      </c>
      <c r="B767" s="125" t="s">
        <v>2538</v>
      </c>
      <c r="C767" s="184">
        <v>22481099</v>
      </c>
      <c r="D767" s="125">
        <v>0</v>
      </c>
      <c r="E767" s="125">
        <v>22481099</v>
      </c>
      <c r="F767" s="125"/>
      <c r="G767" s="125"/>
      <c r="H767" s="125"/>
      <c r="I767" s="125"/>
      <c r="J767" s="224">
        <v>21845176863</v>
      </c>
      <c r="K767" s="224">
        <v>44326275374</v>
      </c>
      <c r="L767" s="223">
        <v>21845176</v>
      </c>
      <c r="M767" s="223">
        <f>44326275-635921</f>
        <v>43690354</v>
      </c>
      <c r="N767" s="221">
        <f t="shared" si="210"/>
        <v>21845176863</v>
      </c>
      <c r="O767" s="221">
        <f t="shared" si="210"/>
        <v>44326275374</v>
      </c>
      <c r="P767" s="238">
        <f t="shared" si="212"/>
        <v>635921</v>
      </c>
    </row>
    <row r="768" spans="1:16" ht="11.25">
      <c r="A768" s="200">
        <v>31021</v>
      </c>
      <c r="B768" s="125" t="s">
        <v>2557</v>
      </c>
      <c r="C768" s="184">
        <v>255664</v>
      </c>
      <c r="D768" s="125">
        <v>0</v>
      </c>
      <c r="E768" s="125">
        <v>94730429</v>
      </c>
      <c r="F768" s="125"/>
      <c r="G768" s="125"/>
      <c r="H768" s="125"/>
      <c r="I768" s="125"/>
      <c r="J768" s="224">
        <v>212917403</v>
      </c>
      <c r="K768" s="224">
        <v>468582736</v>
      </c>
      <c r="L768" s="223">
        <f>212920-0.5+0.5</f>
        <v>212920</v>
      </c>
      <c r="M768" s="223">
        <f>468583-42748</f>
        <v>425835</v>
      </c>
      <c r="N768" s="221">
        <f t="shared" si="210"/>
        <v>212917403</v>
      </c>
      <c r="O768" s="221">
        <f t="shared" si="210"/>
        <v>468582736</v>
      </c>
      <c r="P768" s="238">
        <f t="shared" si="212"/>
        <v>42749</v>
      </c>
    </row>
    <row r="769" spans="1:16" ht="22.5">
      <c r="A769" s="200">
        <v>31032</v>
      </c>
      <c r="B769" s="125" t="s">
        <v>2558</v>
      </c>
      <c r="C769" s="184">
        <v>0</v>
      </c>
      <c r="D769" s="125">
        <v>0</v>
      </c>
      <c r="E769" s="125">
        <v>0</v>
      </c>
      <c r="F769" s="125"/>
      <c r="G769" s="125"/>
      <c r="H769" s="125"/>
      <c r="I769" s="125"/>
      <c r="J769" s="224"/>
      <c r="K769" s="224"/>
      <c r="L769" s="223">
        <v>0</v>
      </c>
      <c r="M769" s="223">
        <v>0</v>
      </c>
      <c r="N769" s="221">
        <f t="shared" si="210"/>
        <v>0</v>
      </c>
      <c r="O769" s="221">
        <f t="shared" si="210"/>
        <v>0</v>
      </c>
      <c r="P769" s="238">
        <f t="shared" si="212"/>
        <v>0</v>
      </c>
    </row>
    <row r="770" spans="1:16" ht="11.25">
      <c r="A770" s="200">
        <v>31034</v>
      </c>
      <c r="B770" s="125" t="s">
        <v>2559</v>
      </c>
      <c r="C770" s="184">
        <v>171488</v>
      </c>
      <c r="D770" s="125">
        <v>0</v>
      </c>
      <c r="E770" s="125">
        <v>171488</v>
      </c>
      <c r="F770" s="124"/>
      <c r="G770" s="124"/>
      <c r="H770" s="125"/>
      <c r="I770" s="125"/>
      <c r="J770" s="224">
        <v>0</v>
      </c>
      <c r="K770" s="224">
        <v>171488575.79</v>
      </c>
      <c r="L770" s="223">
        <v>0</v>
      </c>
      <c r="M770" s="223"/>
      <c r="N770" s="221">
        <f t="shared" si="210"/>
        <v>0</v>
      </c>
      <c r="O770" s="221">
        <f t="shared" si="210"/>
        <v>171488575.79</v>
      </c>
      <c r="P770" s="238">
        <f t="shared" si="212"/>
        <v>171488</v>
      </c>
    </row>
    <row r="771" spans="1:16" ht="11.25">
      <c r="A771" s="200">
        <v>31038</v>
      </c>
      <c r="B771" s="125" t="s">
        <v>2560</v>
      </c>
      <c r="C771" s="184">
        <v>304264111</v>
      </c>
      <c r="D771" s="125">
        <v>0</v>
      </c>
      <c r="E771" s="125">
        <v>-151257030332</v>
      </c>
      <c r="F771" s="124"/>
      <c r="G771" s="124"/>
      <c r="H771" s="125"/>
      <c r="I771" s="125"/>
      <c r="J771" s="224">
        <v>283183472572</v>
      </c>
      <c r="K771" s="224">
        <v>587447583675</v>
      </c>
      <c r="L771" s="223">
        <v>283183473</v>
      </c>
      <c r="M771" s="223">
        <f>587447584-21080639+2</f>
        <v>566366947</v>
      </c>
      <c r="N771" s="221">
        <f t="shared" si="210"/>
        <v>283183472572</v>
      </c>
      <c r="O771" s="221">
        <f t="shared" si="210"/>
        <v>587447583675</v>
      </c>
      <c r="P771" s="238">
        <f t="shared" si="212"/>
        <v>21080637</v>
      </c>
    </row>
    <row r="772" spans="1:16" ht="11.25">
      <c r="A772" s="200">
        <v>31043</v>
      </c>
      <c r="B772" s="125" t="s">
        <v>2568</v>
      </c>
      <c r="C772" s="184">
        <v>15040</v>
      </c>
      <c r="D772" s="125">
        <v>0</v>
      </c>
      <c r="E772" s="125">
        <v>15040000</v>
      </c>
      <c r="F772" s="125"/>
      <c r="G772" s="125"/>
      <c r="H772" s="125"/>
      <c r="I772" s="125"/>
      <c r="J772" s="224">
        <v>9023177.5</v>
      </c>
      <c r="K772" s="224">
        <v>24063177.5</v>
      </c>
      <c r="L772" s="223">
        <v>9023</v>
      </c>
      <c r="M772" s="223">
        <f>24063-6017</f>
        <v>18046</v>
      </c>
      <c r="N772" s="221">
        <f t="shared" si="210"/>
        <v>9023177.5</v>
      </c>
      <c r="O772" s="221">
        <f t="shared" si="210"/>
        <v>24063177.5</v>
      </c>
      <c r="P772" s="238">
        <f t="shared" si="212"/>
        <v>6017</v>
      </c>
    </row>
    <row r="773" spans="1:16" ht="11.25">
      <c r="A773" s="200">
        <v>31044</v>
      </c>
      <c r="B773" s="125" t="s">
        <v>2569</v>
      </c>
      <c r="C773" s="184">
        <v>2103704</v>
      </c>
      <c r="D773" s="125">
        <v>0</v>
      </c>
      <c r="E773" s="125">
        <v>2000103704.01</v>
      </c>
      <c r="F773" s="125"/>
      <c r="G773" s="125"/>
      <c r="H773" s="125"/>
      <c r="I773" s="125"/>
      <c r="J773" s="224">
        <v>2000000000.01</v>
      </c>
      <c r="K773" s="224">
        <v>4103703694.15</v>
      </c>
      <c r="L773" s="223">
        <v>2000000</v>
      </c>
      <c r="M773" s="223">
        <f>4103704-103704+0.5+0.5</f>
        <v>4000001</v>
      </c>
      <c r="N773" s="221">
        <f t="shared" si="210"/>
        <v>2000000000.01</v>
      </c>
      <c r="O773" s="221">
        <f t="shared" si="210"/>
        <v>4103703694.15</v>
      </c>
      <c r="P773" s="238">
        <v>103704</v>
      </c>
    </row>
    <row r="774" spans="1:16" ht="11.25">
      <c r="A774" s="200">
        <v>31046</v>
      </c>
      <c r="B774" s="125" t="s">
        <v>2563</v>
      </c>
      <c r="C774" s="184">
        <v>20082992</v>
      </c>
      <c r="D774" s="125">
        <v>0</v>
      </c>
      <c r="E774" s="125">
        <v>-1067177464.8299999</v>
      </c>
      <c r="F774" s="125"/>
      <c r="G774" s="125"/>
      <c r="H774" s="124"/>
      <c r="I774" s="124"/>
      <c r="J774" s="224">
        <v>20082990748</v>
      </c>
      <c r="K774" s="224">
        <v>40165981498.17</v>
      </c>
      <c r="L774" s="223">
        <v>20082991</v>
      </c>
      <c r="M774" s="223">
        <f>40165981+2</f>
        <v>40165983</v>
      </c>
      <c r="N774" s="221">
        <f t="shared" si="210"/>
        <v>20082990748</v>
      </c>
      <c r="O774" s="221">
        <f t="shared" si="210"/>
        <v>40165981498.17</v>
      </c>
      <c r="P774" s="238">
        <f>+C774+L774-M774</f>
        <v>0</v>
      </c>
    </row>
    <row r="775" spans="1:16" ht="11.25">
      <c r="A775" s="200">
        <v>31058</v>
      </c>
      <c r="B775" s="125" t="s">
        <v>2570</v>
      </c>
      <c r="C775" s="184">
        <v>201992444</v>
      </c>
      <c r="D775" s="125">
        <v>0</v>
      </c>
      <c r="E775" s="125">
        <v>-51393066652.58</v>
      </c>
      <c r="F775" s="124"/>
      <c r="G775" s="124"/>
      <c r="H775" s="124"/>
      <c r="I775" s="124"/>
      <c r="J775" s="224">
        <v>171261344787.21</v>
      </c>
      <c r="K775" s="224">
        <v>373253788452.63</v>
      </c>
      <c r="L775" s="223">
        <v>171261345</v>
      </c>
      <c r="M775" s="223">
        <f>373253788-30731098</f>
        <v>342522690</v>
      </c>
      <c r="N775" s="221">
        <f t="shared" si="210"/>
        <v>171261344787.21</v>
      </c>
      <c r="O775" s="221">
        <f t="shared" si="210"/>
        <v>373253788452.63</v>
      </c>
      <c r="P775" s="238">
        <f>+C775+L775-M775</f>
        <v>30731099</v>
      </c>
    </row>
    <row r="776" spans="1:16" ht="11.25">
      <c r="A776" s="200">
        <v>31091</v>
      </c>
      <c r="B776" s="125" t="s">
        <v>2565</v>
      </c>
      <c r="C776" s="184">
        <v>614219118</v>
      </c>
      <c r="D776" s="125">
        <v>0</v>
      </c>
      <c r="E776" s="125">
        <v>614219118</v>
      </c>
      <c r="F776" s="125"/>
      <c r="G776" s="125"/>
      <c r="H776" s="125"/>
      <c r="I776" s="125"/>
      <c r="J776" s="224">
        <v>603138988208</v>
      </c>
      <c r="K776" s="224">
        <v>1217358106633</v>
      </c>
      <c r="L776" s="223">
        <v>603138989</v>
      </c>
      <c r="M776" s="223">
        <f>1217358107-11080130</f>
        <v>1206277977</v>
      </c>
      <c r="N776" s="221">
        <f t="shared" si="210"/>
        <v>603138988208</v>
      </c>
      <c r="O776" s="221">
        <f t="shared" si="210"/>
        <v>1217358106633</v>
      </c>
      <c r="P776" s="238">
        <f>+C776+L776-M776</f>
        <v>11080130</v>
      </c>
    </row>
    <row r="777" spans="1:16" ht="11.25">
      <c r="A777" s="198">
        <v>31200</v>
      </c>
      <c r="B777" s="124" t="s">
        <v>2571</v>
      </c>
      <c r="C777" s="220">
        <f aca="true" t="shared" si="213" ref="C777:M777">SUM(C778:C795)</f>
        <v>2365133119</v>
      </c>
      <c r="D777" s="220">
        <f t="shared" si="213"/>
        <v>0</v>
      </c>
      <c r="E777" s="220">
        <f t="shared" si="213"/>
        <v>-2540306757545.06</v>
      </c>
      <c r="F777" s="220">
        <f t="shared" si="213"/>
        <v>0</v>
      </c>
      <c r="G777" s="220">
        <f t="shared" si="213"/>
        <v>0</v>
      </c>
      <c r="H777" s="220">
        <f t="shared" si="213"/>
        <v>0</v>
      </c>
      <c r="I777" s="220">
        <f t="shared" si="213"/>
        <v>0</v>
      </c>
      <c r="J777" s="220">
        <f t="shared" si="213"/>
        <v>2365123121418.11</v>
      </c>
      <c r="K777" s="220">
        <f t="shared" si="213"/>
        <v>4730256243727.11</v>
      </c>
      <c r="L777" s="220">
        <f t="shared" si="213"/>
        <v>2365123121</v>
      </c>
      <c r="M777" s="220">
        <f t="shared" si="213"/>
        <v>4730246239</v>
      </c>
      <c r="N777" s="221">
        <f t="shared" si="210"/>
        <v>2365123121418.11</v>
      </c>
      <c r="O777" s="221">
        <f t="shared" si="210"/>
        <v>4730256243727.11</v>
      </c>
      <c r="P777" s="238">
        <f>SUM(P778:P795)</f>
        <v>10001</v>
      </c>
    </row>
    <row r="778" spans="1:16" ht="11.25">
      <c r="A778" s="200">
        <v>31211</v>
      </c>
      <c r="B778" s="125" t="s">
        <v>2549</v>
      </c>
      <c r="C778" s="184">
        <v>4005647</v>
      </c>
      <c r="D778" s="125">
        <v>0</v>
      </c>
      <c r="E778" s="125">
        <v>-3302538297</v>
      </c>
      <c r="F778" s="124"/>
      <c r="G778" s="124"/>
      <c r="H778" s="125"/>
      <c r="I778" s="125"/>
      <c r="J778" s="224">
        <v>4005647414</v>
      </c>
      <c r="K778" s="224">
        <v>8011294828</v>
      </c>
      <c r="L778" s="223">
        <v>4005647</v>
      </c>
      <c r="M778" s="223">
        <v>8011294</v>
      </c>
      <c r="N778" s="221">
        <f t="shared" si="210"/>
        <v>4005647414</v>
      </c>
      <c r="O778" s="221">
        <f t="shared" si="210"/>
        <v>8011294828</v>
      </c>
      <c r="P778" s="238">
        <f aca="true" t="shared" si="214" ref="P778:P795">+C778+L778-M778</f>
        <v>0</v>
      </c>
    </row>
    <row r="779" spans="1:16" ht="11.25">
      <c r="A779" s="200">
        <v>31212</v>
      </c>
      <c r="B779" s="125" t="s">
        <v>2550</v>
      </c>
      <c r="C779" s="184">
        <v>54670</v>
      </c>
      <c r="D779" s="125">
        <v>0</v>
      </c>
      <c r="E779" s="125">
        <v>-142267721</v>
      </c>
      <c r="F779" s="125"/>
      <c r="G779" s="125"/>
      <c r="H779" s="124"/>
      <c r="I779" s="124"/>
      <c r="J779" s="224">
        <v>54670382</v>
      </c>
      <c r="K779" s="224">
        <v>109340764</v>
      </c>
      <c r="L779" s="223">
        <f>54670</f>
        <v>54670</v>
      </c>
      <c r="M779" s="223">
        <f>109340</f>
        <v>109340</v>
      </c>
      <c r="N779" s="221">
        <f t="shared" si="210"/>
        <v>54670382</v>
      </c>
      <c r="O779" s="221">
        <f t="shared" si="210"/>
        <v>109340764</v>
      </c>
      <c r="P779" s="238">
        <f t="shared" si="214"/>
        <v>0</v>
      </c>
    </row>
    <row r="780" spans="1:16" ht="22.5">
      <c r="A780" s="200">
        <v>31213</v>
      </c>
      <c r="B780" s="125" t="s">
        <v>2572</v>
      </c>
      <c r="C780" s="184">
        <v>1831</v>
      </c>
      <c r="D780" s="125">
        <v>0</v>
      </c>
      <c r="E780" s="125">
        <v>-291375252</v>
      </c>
      <c r="F780" s="124"/>
      <c r="G780" s="124"/>
      <c r="H780" s="125"/>
      <c r="I780" s="125"/>
      <c r="J780" s="224">
        <v>1831049</v>
      </c>
      <c r="K780" s="224">
        <v>3662098</v>
      </c>
      <c r="L780" s="223">
        <v>1831</v>
      </c>
      <c r="M780" s="223">
        <v>3662</v>
      </c>
      <c r="N780" s="221">
        <f t="shared" si="210"/>
        <v>1831049</v>
      </c>
      <c r="O780" s="221">
        <f t="shared" si="210"/>
        <v>3662098</v>
      </c>
      <c r="P780" s="238">
        <f t="shared" si="214"/>
        <v>0</v>
      </c>
    </row>
    <row r="781" spans="1:16" ht="11.25">
      <c r="A781" s="200">
        <v>31214</v>
      </c>
      <c r="B781" s="125" t="s">
        <v>2573</v>
      </c>
      <c r="C781" s="184">
        <v>824507</v>
      </c>
      <c r="D781" s="125">
        <v>0</v>
      </c>
      <c r="E781" s="125">
        <v>-1087125624</v>
      </c>
      <c r="F781" s="124"/>
      <c r="G781" s="124"/>
      <c r="H781" s="125"/>
      <c r="I781" s="125"/>
      <c r="J781" s="224">
        <v>824506968</v>
      </c>
      <c r="K781" s="224">
        <v>1649013936</v>
      </c>
      <c r="L781" s="223">
        <v>824507</v>
      </c>
      <c r="M781" s="223">
        <v>1649014</v>
      </c>
      <c r="N781" s="221">
        <f t="shared" si="210"/>
        <v>824506968</v>
      </c>
      <c r="O781" s="221">
        <f t="shared" si="210"/>
        <v>1649013936</v>
      </c>
      <c r="P781" s="238">
        <f t="shared" si="214"/>
        <v>0</v>
      </c>
    </row>
    <row r="782" spans="1:16" ht="11.25">
      <c r="A782" s="200">
        <v>31215</v>
      </c>
      <c r="B782" s="125" t="s">
        <v>2553</v>
      </c>
      <c r="C782" s="184">
        <v>9367</v>
      </c>
      <c r="D782" s="125">
        <v>0</v>
      </c>
      <c r="E782" s="125">
        <v>9367</v>
      </c>
      <c r="F782" s="124"/>
      <c r="G782" s="124"/>
      <c r="H782" s="124"/>
      <c r="I782" s="124"/>
      <c r="J782" s="224">
        <v>9367040</v>
      </c>
      <c r="K782" s="224">
        <v>18734080</v>
      </c>
      <c r="L782" s="223">
        <v>9367</v>
      </c>
      <c r="M782" s="223">
        <v>18734</v>
      </c>
      <c r="N782" s="221">
        <f t="shared" si="210"/>
        <v>9367040</v>
      </c>
      <c r="O782" s="221">
        <f t="shared" si="210"/>
        <v>18734080</v>
      </c>
      <c r="P782" s="238">
        <f t="shared" si="214"/>
        <v>0</v>
      </c>
    </row>
    <row r="783" spans="1:16" ht="11.25">
      <c r="A783" s="200">
        <v>31216</v>
      </c>
      <c r="B783" s="125" t="s">
        <v>2554</v>
      </c>
      <c r="C783" s="184">
        <v>331420</v>
      </c>
      <c r="D783" s="125">
        <v>0</v>
      </c>
      <c r="E783" s="125">
        <v>39775395.3</v>
      </c>
      <c r="F783" s="125"/>
      <c r="G783" s="125"/>
      <c r="H783" s="125"/>
      <c r="I783" s="125"/>
      <c r="J783" s="224">
        <v>331421153</v>
      </c>
      <c r="K783" s="224">
        <v>662842306</v>
      </c>
      <c r="L783" s="223">
        <v>331421</v>
      </c>
      <c r="M783" s="223">
        <v>662841</v>
      </c>
      <c r="N783" s="221">
        <f t="shared" si="210"/>
        <v>331421153</v>
      </c>
      <c r="O783" s="221">
        <f t="shared" si="210"/>
        <v>662842306</v>
      </c>
      <c r="P783" s="238">
        <f t="shared" si="214"/>
        <v>0</v>
      </c>
    </row>
    <row r="784" spans="1:16" ht="11.25">
      <c r="A784" s="200">
        <v>31217</v>
      </c>
      <c r="B784" s="125" t="s">
        <v>2574</v>
      </c>
      <c r="C784" s="184">
        <v>769</v>
      </c>
      <c r="D784" s="125">
        <v>0</v>
      </c>
      <c r="E784" s="125">
        <v>469300</v>
      </c>
      <c r="F784" s="124"/>
      <c r="G784" s="124"/>
      <c r="H784" s="124"/>
      <c r="I784" s="124"/>
      <c r="J784" s="224">
        <v>769000</v>
      </c>
      <c r="K784" s="224">
        <v>1538000</v>
      </c>
      <c r="L784" s="223">
        <v>769</v>
      </c>
      <c r="M784" s="223">
        <v>1538</v>
      </c>
      <c r="N784" s="221">
        <f t="shared" si="210"/>
        <v>769000</v>
      </c>
      <c r="O784" s="221">
        <f t="shared" si="210"/>
        <v>1538000</v>
      </c>
      <c r="P784" s="238">
        <f t="shared" si="214"/>
        <v>0</v>
      </c>
    </row>
    <row r="785" spans="1:16" ht="11.25">
      <c r="A785" s="200">
        <v>31218</v>
      </c>
      <c r="B785" s="125" t="s">
        <v>2567</v>
      </c>
      <c r="C785" s="184">
        <v>0</v>
      </c>
      <c r="D785" s="125">
        <v>0</v>
      </c>
      <c r="E785" s="125">
        <v>0</v>
      </c>
      <c r="F785" s="125"/>
      <c r="G785" s="125"/>
      <c r="H785" s="124"/>
      <c r="I785" s="124"/>
      <c r="J785" s="224"/>
      <c r="K785" s="224"/>
      <c r="L785" s="223">
        <v>0</v>
      </c>
      <c r="M785" s="223">
        <v>0</v>
      </c>
      <c r="N785" s="221">
        <f t="shared" si="210"/>
        <v>0</v>
      </c>
      <c r="O785" s="221">
        <f t="shared" si="210"/>
        <v>0</v>
      </c>
      <c r="P785" s="238">
        <f t="shared" si="214"/>
        <v>0</v>
      </c>
    </row>
    <row r="786" spans="1:16" ht="11.25">
      <c r="A786" s="200">
        <v>31220</v>
      </c>
      <c r="B786" s="125" t="s">
        <v>2538</v>
      </c>
      <c r="C786" s="184">
        <v>1574121</v>
      </c>
      <c r="D786" s="125">
        <v>0</v>
      </c>
      <c r="E786" s="125">
        <v>1574121</v>
      </c>
      <c r="F786" s="125"/>
      <c r="G786" s="125"/>
      <c r="H786" s="124"/>
      <c r="I786" s="124"/>
      <c r="J786" s="224">
        <v>1574121406</v>
      </c>
      <c r="K786" s="224">
        <v>3148242812</v>
      </c>
      <c r="L786" s="223">
        <v>1574121</v>
      </c>
      <c r="M786" s="223">
        <v>3148242</v>
      </c>
      <c r="N786" s="221">
        <f t="shared" si="210"/>
        <v>1574121406</v>
      </c>
      <c r="O786" s="221">
        <f t="shared" si="210"/>
        <v>3148242812</v>
      </c>
      <c r="P786" s="238">
        <f t="shared" si="214"/>
        <v>0</v>
      </c>
    </row>
    <row r="787" spans="1:16" ht="11.25">
      <c r="A787" s="200">
        <v>31221</v>
      </c>
      <c r="B787" s="125" t="s">
        <v>2575</v>
      </c>
      <c r="C787" s="184">
        <v>140098</v>
      </c>
      <c r="D787" s="125">
        <v>0</v>
      </c>
      <c r="E787" s="125">
        <v>-906229129</v>
      </c>
      <c r="F787" s="125"/>
      <c r="G787" s="125"/>
      <c r="H787" s="125"/>
      <c r="I787" s="125"/>
      <c r="J787" s="224">
        <v>140097711</v>
      </c>
      <c r="K787" s="224">
        <v>280195422</v>
      </c>
      <c r="L787" s="223">
        <v>140098</v>
      </c>
      <c r="M787" s="223">
        <v>280196</v>
      </c>
      <c r="N787" s="221">
        <f t="shared" si="210"/>
        <v>140097711</v>
      </c>
      <c r="O787" s="221">
        <f t="shared" si="210"/>
        <v>280195422</v>
      </c>
      <c r="P787" s="238">
        <f t="shared" si="214"/>
        <v>0</v>
      </c>
    </row>
    <row r="788" spans="1:16" ht="22.5">
      <c r="A788" s="200">
        <v>31232</v>
      </c>
      <c r="B788" s="125" t="s">
        <v>2576</v>
      </c>
      <c r="C788" s="184">
        <v>686143</v>
      </c>
      <c r="D788" s="125">
        <v>0</v>
      </c>
      <c r="E788" s="125">
        <v>-1119342707</v>
      </c>
      <c r="F788" s="124"/>
      <c r="G788" s="124"/>
      <c r="H788" s="124"/>
      <c r="I788" s="124"/>
      <c r="J788" s="224">
        <v>686142633</v>
      </c>
      <c r="K788" s="224">
        <v>1372285266</v>
      </c>
      <c r="L788" s="223">
        <v>686143</v>
      </c>
      <c r="M788" s="223">
        <v>1372286</v>
      </c>
      <c r="N788" s="221">
        <f t="shared" si="210"/>
        <v>686142633</v>
      </c>
      <c r="O788" s="221">
        <f t="shared" si="210"/>
        <v>1372285266</v>
      </c>
      <c r="P788" s="238">
        <f t="shared" si="214"/>
        <v>0</v>
      </c>
    </row>
    <row r="789" spans="1:16" ht="11.25">
      <c r="A789" s="200">
        <v>31234</v>
      </c>
      <c r="B789" s="125" t="s">
        <v>2577</v>
      </c>
      <c r="C789" s="184">
        <v>0</v>
      </c>
      <c r="D789" s="125">
        <v>0</v>
      </c>
      <c r="E789" s="125">
        <v>0</v>
      </c>
      <c r="F789" s="125"/>
      <c r="G789" s="125"/>
      <c r="H789" s="125"/>
      <c r="I789" s="125"/>
      <c r="J789" s="224"/>
      <c r="K789" s="224"/>
      <c r="L789" s="223">
        <v>0</v>
      </c>
      <c r="M789" s="223">
        <v>0</v>
      </c>
      <c r="N789" s="221">
        <f t="shared" si="210"/>
        <v>0</v>
      </c>
      <c r="O789" s="221">
        <f t="shared" si="210"/>
        <v>0</v>
      </c>
      <c r="P789" s="238">
        <f t="shared" si="214"/>
        <v>0</v>
      </c>
    </row>
    <row r="790" spans="1:16" ht="11.25">
      <c r="A790" s="200">
        <v>31238</v>
      </c>
      <c r="B790" s="125" t="s">
        <v>2560</v>
      </c>
      <c r="C790" s="184">
        <v>492365710</v>
      </c>
      <c r="D790" s="125">
        <v>0</v>
      </c>
      <c r="E790" s="125">
        <v>-263730039197</v>
      </c>
      <c r="F790" s="125"/>
      <c r="G790" s="125"/>
      <c r="H790" s="125"/>
      <c r="I790" s="125"/>
      <c r="J790" s="224">
        <v>492365710314</v>
      </c>
      <c r="K790" s="224">
        <v>984731420628</v>
      </c>
      <c r="L790" s="223">
        <v>492365710</v>
      </c>
      <c r="M790" s="223">
        <v>984731420</v>
      </c>
      <c r="N790" s="221">
        <f t="shared" si="210"/>
        <v>492365710314</v>
      </c>
      <c r="O790" s="221">
        <f t="shared" si="210"/>
        <v>984731420628</v>
      </c>
      <c r="P790" s="238">
        <f t="shared" si="214"/>
        <v>0</v>
      </c>
    </row>
    <row r="791" spans="1:16" ht="11.25">
      <c r="A791" s="200">
        <v>31243</v>
      </c>
      <c r="B791" s="125" t="s">
        <v>2568</v>
      </c>
      <c r="C791" s="184">
        <v>497199</v>
      </c>
      <c r="D791" s="125">
        <v>0</v>
      </c>
      <c r="E791" s="125">
        <v>-2175330649</v>
      </c>
      <c r="F791" s="125"/>
      <c r="G791" s="125"/>
      <c r="H791" s="125"/>
      <c r="I791" s="125"/>
      <c r="J791" s="224">
        <v>497198776</v>
      </c>
      <c r="K791" s="224">
        <v>994397552</v>
      </c>
      <c r="L791" s="223">
        <v>497199</v>
      </c>
      <c r="M791" s="223">
        <v>994398</v>
      </c>
      <c r="N791" s="221">
        <f t="shared" si="210"/>
        <v>497198776</v>
      </c>
      <c r="O791" s="221">
        <f t="shared" si="210"/>
        <v>994397552</v>
      </c>
      <c r="P791" s="238">
        <f t="shared" si="214"/>
        <v>0</v>
      </c>
    </row>
    <row r="792" spans="1:16" ht="11.25">
      <c r="A792" s="200">
        <v>31244</v>
      </c>
      <c r="B792" s="125" t="s">
        <v>2569</v>
      </c>
      <c r="C792" s="184">
        <v>870432</v>
      </c>
      <c r="D792" s="125">
        <v>0</v>
      </c>
      <c r="E792" s="125">
        <v>-3621410378.5400004</v>
      </c>
      <c r="F792" s="125"/>
      <c r="G792" s="125"/>
      <c r="H792" s="124"/>
      <c r="I792" s="124"/>
      <c r="J792" s="224">
        <v>870432667</v>
      </c>
      <c r="K792" s="224">
        <v>1740865334</v>
      </c>
      <c r="L792" s="223">
        <v>870433</v>
      </c>
      <c r="M792" s="223">
        <v>1740865</v>
      </c>
      <c r="N792" s="221">
        <f t="shared" si="210"/>
        <v>870432667</v>
      </c>
      <c r="O792" s="221">
        <f t="shared" si="210"/>
        <v>1740865334</v>
      </c>
      <c r="P792" s="238">
        <f t="shared" si="214"/>
        <v>0</v>
      </c>
    </row>
    <row r="793" spans="1:16" ht="11.25">
      <c r="A793" s="200">
        <v>31246</v>
      </c>
      <c r="B793" s="125" t="s">
        <v>2563</v>
      </c>
      <c r="C793" s="184">
        <v>473699095</v>
      </c>
      <c r="D793" s="125">
        <v>0</v>
      </c>
      <c r="E793" s="125">
        <v>-174727250583</v>
      </c>
      <c r="F793" s="125"/>
      <c r="G793" s="125"/>
      <c r="H793" s="125"/>
      <c r="I793" s="125"/>
      <c r="J793" s="224">
        <v>473699095799</v>
      </c>
      <c r="K793" s="224">
        <v>947398191598</v>
      </c>
      <c r="L793" s="223">
        <v>473699096</v>
      </c>
      <c r="M793" s="223">
        <v>947398191</v>
      </c>
      <c r="N793" s="221">
        <f t="shared" si="210"/>
        <v>473699095799</v>
      </c>
      <c r="O793" s="221">
        <f t="shared" si="210"/>
        <v>947398191598</v>
      </c>
      <c r="P793" s="238">
        <f t="shared" si="214"/>
        <v>0</v>
      </c>
    </row>
    <row r="794" spans="1:16" ht="11.25">
      <c r="A794" s="200">
        <v>31258</v>
      </c>
      <c r="B794" s="125" t="s">
        <v>2578</v>
      </c>
      <c r="C794" s="184">
        <v>61134676</v>
      </c>
      <c r="D794" s="125">
        <v>0</v>
      </c>
      <c r="E794" s="125">
        <v>36250443465.18</v>
      </c>
      <c r="F794" s="125"/>
      <c r="G794" s="125"/>
      <c r="H794" s="125"/>
      <c r="I794" s="125"/>
      <c r="J794" s="224">
        <v>61124675009.11</v>
      </c>
      <c r="K794" s="224">
        <v>122259350909.11</v>
      </c>
      <c r="L794" s="223">
        <v>61124675</v>
      </c>
      <c r="M794" s="223">
        <f>122259351-10001</f>
        <v>122249350</v>
      </c>
      <c r="N794" s="221">
        <f t="shared" si="210"/>
        <v>61124675009.11</v>
      </c>
      <c r="O794" s="221">
        <f t="shared" si="210"/>
        <v>122259350909.11</v>
      </c>
      <c r="P794" s="238">
        <f t="shared" si="214"/>
        <v>10001</v>
      </c>
    </row>
    <row r="795" spans="1:16" ht="11.25">
      <c r="A795" s="200">
        <v>31291</v>
      </c>
      <c r="B795" s="125" t="s">
        <v>2565</v>
      </c>
      <c r="C795" s="184">
        <v>1328937434</v>
      </c>
      <c r="D795" s="125">
        <v>0</v>
      </c>
      <c r="E795" s="125">
        <v>-2125496119656</v>
      </c>
      <c r="F795" s="125"/>
      <c r="G795" s="125"/>
      <c r="H795" s="125"/>
      <c r="I795" s="125"/>
      <c r="J795" s="224">
        <v>1328937434097</v>
      </c>
      <c r="K795" s="224">
        <v>2657874868194</v>
      </c>
      <c r="L795" s="223">
        <v>1328937434</v>
      </c>
      <c r="M795" s="223">
        <v>2657874868</v>
      </c>
      <c r="N795" s="221">
        <f t="shared" si="210"/>
        <v>1328937434097</v>
      </c>
      <c r="O795" s="221">
        <f t="shared" si="210"/>
        <v>2657874868194</v>
      </c>
      <c r="P795" s="238">
        <f t="shared" si="214"/>
        <v>0</v>
      </c>
    </row>
    <row r="796" spans="1:16" ht="11.25">
      <c r="A796" s="198">
        <v>31500</v>
      </c>
      <c r="B796" s="124" t="s">
        <v>2579</v>
      </c>
      <c r="C796" s="220">
        <f aca="true" t="shared" si="215" ref="C796:M796">SUM(C797:C814)</f>
        <v>52407279</v>
      </c>
      <c r="D796" s="220">
        <f t="shared" si="215"/>
        <v>0</v>
      </c>
      <c r="E796" s="220">
        <f t="shared" si="215"/>
        <v>-123044418092.69998</v>
      </c>
      <c r="F796" s="220">
        <f t="shared" si="215"/>
        <v>0</v>
      </c>
      <c r="G796" s="220">
        <f t="shared" si="215"/>
        <v>0</v>
      </c>
      <c r="H796" s="220">
        <f t="shared" si="215"/>
        <v>0</v>
      </c>
      <c r="I796" s="220">
        <f t="shared" si="215"/>
        <v>0</v>
      </c>
      <c r="J796" s="220">
        <f t="shared" si="215"/>
        <v>271554522487.64</v>
      </c>
      <c r="K796" s="220">
        <f t="shared" si="215"/>
        <v>323961803662.12</v>
      </c>
      <c r="L796" s="220">
        <f t="shared" si="215"/>
        <v>271554523</v>
      </c>
      <c r="M796" s="220">
        <f t="shared" si="215"/>
        <v>39718170</v>
      </c>
      <c r="N796" s="221">
        <f t="shared" si="210"/>
        <v>271554522487.64</v>
      </c>
      <c r="O796" s="221">
        <f t="shared" si="210"/>
        <v>323961803662.12</v>
      </c>
      <c r="P796" s="238">
        <f>SUM(P797:P814)</f>
        <v>284243632</v>
      </c>
    </row>
    <row r="797" spans="1:16" ht="11.25">
      <c r="A797" s="200">
        <v>31511</v>
      </c>
      <c r="B797" s="125" t="s">
        <v>2549</v>
      </c>
      <c r="C797" s="184">
        <v>1368</v>
      </c>
      <c r="D797" s="125">
        <v>0</v>
      </c>
      <c r="E797" s="125">
        <v>457238</v>
      </c>
      <c r="F797" s="125"/>
      <c r="G797" s="125"/>
      <c r="H797" s="125"/>
      <c r="I797" s="125"/>
      <c r="J797" s="224">
        <v>1368978</v>
      </c>
      <c r="K797" s="224">
        <v>2737956</v>
      </c>
      <c r="L797" s="223">
        <v>1369</v>
      </c>
      <c r="M797" s="223">
        <v>2737</v>
      </c>
      <c r="N797" s="221">
        <f t="shared" si="210"/>
        <v>1368978</v>
      </c>
      <c r="O797" s="221">
        <f t="shared" si="210"/>
        <v>2737956</v>
      </c>
      <c r="P797" s="238">
        <f aca="true" t="shared" si="216" ref="P797:P814">+C797+L797-M797</f>
        <v>0</v>
      </c>
    </row>
    <row r="798" spans="1:16" ht="11.25">
      <c r="A798" s="200">
        <v>31512</v>
      </c>
      <c r="B798" s="125" t="s">
        <v>2550</v>
      </c>
      <c r="C798" s="184">
        <v>182662</v>
      </c>
      <c r="D798" s="125">
        <v>0</v>
      </c>
      <c r="E798" s="125">
        <v>76148973</v>
      </c>
      <c r="F798" s="125"/>
      <c r="G798" s="125"/>
      <c r="H798" s="125"/>
      <c r="I798" s="125"/>
      <c r="J798" s="224">
        <v>330441114</v>
      </c>
      <c r="K798" s="224">
        <v>513104667</v>
      </c>
      <c r="L798" s="223">
        <v>330443</v>
      </c>
      <c r="M798" s="223"/>
      <c r="N798" s="221">
        <f t="shared" si="210"/>
        <v>330441114</v>
      </c>
      <c r="O798" s="221">
        <f t="shared" si="210"/>
        <v>513104667</v>
      </c>
      <c r="P798" s="238">
        <f t="shared" si="216"/>
        <v>513105</v>
      </c>
    </row>
    <row r="799" spans="1:16" ht="11.25">
      <c r="A799" s="200">
        <v>31513</v>
      </c>
      <c r="B799" s="125" t="s">
        <v>2580</v>
      </c>
      <c r="C799" s="184">
        <v>0</v>
      </c>
      <c r="D799" s="125">
        <v>0</v>
      </c>
      <c r="E799" s="125">
        <v>0</v>
      </c>
      <c r="F799" s="124"/>
      <c r="G799" s="124"/>
      <c r="H799" s="125"/>
      <c r="I799" s="125"/>
      <c r="J799" s="224"/>
      <c r="K799" s="224"/>
      <c r="L799" s="223">
        <v>0</v>
      </c>
      <c r="M799" s="223">
        <v>0</v>
      </c>
      <c r="N799" s="221">
        <f t="shared" si="210"/>
        <v>0</v>
      </c>
      <c r="O799" s="221">
        <f t="shared" si="210"/>
        <v>0</v>
      </c>
      <c r="P799" s="238">
        <f t="shared" si="216"/>
        <v>0</v>
      </c>
    </row>
    <row r="800" spans="1:16" ht="11.25">
      <c r="A800" s="200">
        <v>31514</v>
      </c>
      <c r="B800" s="125" t="s">
        <v>2581</v>
      </c>
      <c r="C800" s="184">
        <v>0</v>
      </c>
      <c r="D800" s="125">
        <v>0</v>
      </c>
      <c r="E800" s="125">
        <v>0</v>
      </c>
      <c r="F800" s="125"/>
      <c r="G800" s="125"/>
      <c r="H800" s="124"/>
      <c r="I800" s="124"/>
      <c r="J800" s="224"/>
      <c r="K800" s="224"/>
      <c r="L800" s="223">
        <v>0</v>
      </c>
      <c r="M800" s="223">
        <v>0</v>
      </c>
      <c r="N800" s="221">
        <f t="shared" si="210"/>
        <v>0</v>
      </c>
      <c r="O800" s="221">
        <f t="shared" si="210"/>
        <v>0</v>
      </c>
      <c r="P800" s="238">
        <f t="shared" si="216"/>
        <v>0</v>
      </c>
    </row>
    <row r="801" spans="1:16" ht="11.25">
      <c r="A801" s="200">
        <v>31515</v>
      </c>
      <c r="B801" s="125" t="s">
        <v>2553</v>
      </c>
      <c r="C801" s="184">
        <v>167683</v>
      </c>
      <c r="D801" s="125">
        <v>0</v>
      </c>
      <c r="E801" s="125">
        <v>-70311162.39</v>
      </c>
      <c r="F801" s="125"/>
      <c r="G801" s="125"/>
      <c r="H801" s="125"/>
      <c r="I801" s="125"/>
      <c r="J801" s="224">
        <v>96611644.78</v>
      </c>
      <c r="K801" s="224">
        <v>264294171</v>
      </c>
      <c r="L801" s="223">
        <v>96611</v>
      </c>
      <c r="M801" s="223"/>
      <c r="N801" s="221">
        <f t="shared" si="210"/>
        <v>96611644.78</v>
      </c>
      <c r="O801" s="221">
        <f t="shared" si="210"/>
        <v>264294171</v>
      </c>
      <c r="P801" s="238">
        <f t="shared" si="216"/>
        <v>264294</v>
      </c>
    </row>
    <row r="802" spans="1:16" ht="11.25">
      <c r="A802" s="200">
        <v>31516</v>
      </c>
      <c r="B802" s="125" t="s">
        <v>2582</v>
      </c>
      <c r="C802" s="184">
        <v>438666</v>
      </c>
      <c r="D802" s="125">
        <v>0</v>
      </c>
      <c r="E802" s="125">
        <v>-202166774</v>
      </c>
      <c r="F802" s="124"/>
      <c r="G802" s="124"/>
      <c r="H802" s="125"/>
      <c r="I802" s="125"/>
      <c r="J802" s="224">
        <v>39441765.5</v>
      </c>
      <c r="K802" s="224">
        <v>478107044.27</v>
      </c>
      <c r="L802" s="223">
        <v>39441</v>
      </c>
      <c r="M802" s="223"/>
      <c r="N802" s="221">
        <f t="shared" si="210"/>
        <v>39441765.5</v>
      </c>
      <c r="O802" s="221">
        <f t="shared" si="210"/>
        <v>478107044.27</v>
      </c>
      <c r="P802" s="238">
        <f t="shared" si="216"/>
        <v>478107</v>
      </c>
    </row>
    <row r="803" spans="1:16" ht="11.25">
      <c r="A803" s="200">
        <v>31517</v>
      </c>
      <c r="B803" s="125" t="s">
        <v>2555</v>
      </c>
      <c r="C803" s="184">
        <v>0</v>
      </c>
      <c r="D803" s="125">
        <v>0</v>
      </c>
      <c r="E803" s="125">
        <v>-468531</v>
      </c>
      <c r="F803" s="125"/>
      <c r="G803" s="125"/>
      <c r="H803" s="124"/>
      <c r="I803" s="124"/>
      <c r="J803" s="224"/>
      <c r="K803" s="224"/>
      <c r="L803" s="223">
        <v>0</v>
      </c>
      <c r="M803" s="223">
        <v>0</v>
      </c>
      <c r="N803" s="221">
        <f t="shared" si="210"/>
        <v>0</v>
      </c>
      <c r="O803" s="221">
        <f t="shared" si="210"/>
        <v>0</v>
      </c>
      <c r="P803" s="238">
        <f t="shared" si="216"/>
        <v>0</v>
      </c>
    </row>
    <row r="804" spans="1:16" ht="11.25">
      <c r="A804" s="200">
        <v>31518</v>
      </c>
      <c r="B804" s="125" t="s">
        <v>2583</v>
      </c>
      <c r="C804" s="184">
        <v>0</v>
      </c>
      <c r="D804" s="125">
        <v>0</v>
      </c>
      <c r="E804" s="125">
        <v>0</v>
      </c>
      <c r="F804" s="125"/>
      <c r="G804" s="125"/>
      <c r="H804" s="125"/>
      <c r="I804" s="125"/>
      <c r="J804" s="224"/>
      <c r="K804" s="224"/>
      <c r="L804" s="223">
        <v>0</v>
      </c>
      <c r="M804" s="223">
        <v>0</v>
      </c>
      <c r="N804" s="221">
        <f t="shared" si="210"/>
        <v>0</v>
      </c>
      <c r="O804" s="221">
        <f t="shared" si="210"/>
        <v>0</v>
      </c>
      <c r="P804" s="238">
        <f t="shared" si="216"/>
        <v>0</v>
      </c>
    </row>
    <row r="805" spans="1:16" ht="11.25">
      <c r="A805" s="200">
        <v>31520</v>
      </c>
      <c r="B805" s="125" t="s">
        <v>2538</v>
      </c>
      <c r="C805" s="184">
        <v>0</v>
      </c>
      <c r="D805" s="125">
        <v>0</v>
      </c>
      <c r="E805" s="125">
        <v>-123282031</v>
      </c>
      <c r="F805" s="125"/>
      <c r="G805" s="125"/>
      <c r="H805" s="125"/>
      <c r="I805" s="125"/>
      <c r="J805" s="224"/>
      <c r="K805" s="224"/>
      <c r="L805" s="223">
        <v>0</v>
      </c>
      <c r="M805" s="223">
        <v>0</v>
      </c>
      <c r="N805" s="221">
        <f t="shared" si="210"/>
        <v>0</v>
      </c>
      <c r="O805" s="221">
        <f t="shared" si="210"/>
        <v>0</v>
      </c>
      <c r="P805" s="238">
        <f t="shared" si="216"/>
        <v>0</v>
      </c>
    </row>
    <row r="806" spans="1:16" ht="11.25">
      <c r="A806" s="200">
        <v>31521</v>
      </c>
      <c r="B806" s="125" t="s">
        <v>2584</v>
      </c>
      <c r="C806" s="184">
        <v>414197</v>
      </c>
      <c r="D806" s="125">
        <v>0</v>
      </c>
      <c r="E806" s="125">
        <v>139348022</v>
      </c>
      <c r="F806" s="124"/>
      <c r="G806" s="124"/>
      <c r="H806" s="124"/>
      <c r="I806" s="124"/>
      <c r="J806" s="224">
        <v>245265934</v>
      </c>
      <c r="K806" s="224">
        <v>659463248</v>
      </c>
      <c r="L806" s="223">
        <v>245266</v>
      </c>
      <c r="M806" s="223">
        <f>659463-168931</f>
        <v>490532</v>
      </c>
      <c r="N806" s="221">
        <f t="shared" si="210"/>
        <v>245265934</v>
      </c>
      <c r="O806" s="221">
        <f t="shared" si="210"/>
        <v>659463248</v>
      </c>
      <c r="P806" s="238">
        <f t="shared" si="216"/>
        <v>168931</v>
      </c>
    </row>
    <row r="807" spans="1:16" ht="11.25">
      <c r="A807" s="200">
        <v>31532</v>
      </c>
      <c r="B807" s="125" t="s">
        <v>2585</v>
      </c>
      <c r="C807" s="184">
        <v>280999</v>
      </c>
      <c r="D807" s="125">
        <v>0</v>
      </c>
      <c r="E807" s="125">
        <v>48902818</v>
      </c>
      <c r="F807" s="125"/>
      <c r="G807" s="125"/>
      <c r="H807" s="125"/>
      <c r="I807" s="125"/>
      <c r="J807" s="224">
        <v>281000000</v>
      </c>
      <c r="K807" s="224">
        <v>562000000</v>
      </c>
      <c r="L807" s="223">
        <v>281000</v>
      </c>
      <c r="M807" s="223">
        <v>561999</v>
      </c>
      <c r="N807" s="221">
        <f t="shared" si="210"/>
        <v>281000000</v>
      </c>
      <c r="O807" s="221">
        <f t="shared" si="210"/>
        <v>562000000</v>
      </c>
      <c r="P807" s="238">
        <f t="shared" si="216"/>
        <v>0</v>
      </c>
    </row>
    <row r="808" spans="1:16" ht="11.25">
      <c r="A808" s="200">
        <v>31534</v>
      </c>
      <c r="B808" s="125" t="s">
        <v>2559</v>
      </c>
      <c r="C808" s="184">
        <v>0</v>
      </c>
      <c r="D808" s="125">
        <v>0</v>
      </c>
      <c r="E808" s="125">
        <v>0</v>
      </c>
      <c r="F808" s="125"/>
      <c r="G808" s="125"/>
      <c r="H808" s="125"/>
      <c r="I808" s="125"/>
      <c r="J808" s="224"/>
      <c r="K808" s="224"/>
      <c r="L808" s="223">
        <v>0</v>
      </c>
      <c r="M808" s="223">
        <v>0</v>
      </c>
      <c r="N808" s="221">
        <f t="shared" si="210"/>
        <v>0</v>
      </c>
      <c r="O808" s="221">
        <f t="shared" si="210"/>
        <v>0</v>
      </c>
      <c r="P808" s="238">
        <f t="shared" si="216"/>
        <v>0</v>
      </c>
    </row>
    <row r="809" spans="1:16" ht="11.25">
      <c r="A809" s="200">
        <v>31538</v>
      </c>
      <c r="B809" s="125" t="s">
        <v>2586</v>
      </c>
      <c r="C809" s="184">
        <v>0</v>
      </c>
      <c r="D809" s="125">
        <v>0</v>
      </c>
      <c r="E809" s="125">
        <v>-7266129297</v>
      </c>
      <c r="F809" s="124"/>
      <c r="G809" s="124"/>
      <c r="H809" s="125"/>
      <c r="I809" s="125"/>
      <c r="J809" s="224">
        <v>80022000114</v>
      </c>
      <c r="K809" s="224">
        <v>80022000114</v>
      </c>
      <c r="L809" s="223">
        <v>80022000</v>
      </c>
      <c r="M809" s="223"/>
      <c r="N809" s="221">
        <f t="shared" si="210"/>
        <v>80022000114</v>
      </c>
      <c r="O809" s="221">
        <f t="shared" si="210"/>
        <v>80022000114</v>
      </c>
      <c r="P809" s="238">
        <f t="shared" si="216"/>
        <v>80022000</v>
      </c>
    </row>
    <row r="810" spans="1:16" ht="11.25">
      <c r="A810" s="200">
        <v>31543</v>
      </c>
      <c r="B810" s="125" t="s">
        <v>2568</v>
      </c>
      <c r="C810" s="184">
        <v>1546193</v>
      </c>
      <c r="D810" s="125">
        <v>0</v>
      </c>
      <c r="E810" s="125">
        <v>-693795899</v>
      </c>
      <c r="F810" s="125"/>
      <c r="G810" s="125"/>
      <c r="H810" s="124"/>
      <c r="I810" s="124"/>
      <c r="J810" s="224">
        <v>1124368576</v>
      </c>
      <c r="K810" s="224">
        <v>2670561878</v>
      </c>
      <c r="L810" s="223">
        <v>1124369</v>
      </c>
      <c r="M810" s="223"/>
      <c r="N810" s="221">
        <f t="shared" si="210"/>
        <v>1124368576</v>
      </c>
      <c r="O810" s="221">
        <f t="shared" si="210"/>
        <v>2670561878</v>
      </c>
      <c r="P810" s="238">
        <f t="shared" si="216"/>
        <v>2670562</v>
      </c>
    </row>
    <row r="811" spans="1:16" ht="11.25">
      <c r="A811" s="200">
        <v>31544</v>
      </c>
      <c r="B811" s="125" t="s">
        <v>2587</v>
      </c>
      <c r="C811" s="184">
        <v>102707</v>
      </c>
      <c r="D811" s="125">
        <v>0</v>
      </c>
      <c r="E811" s="125">
        <v>77608500.73999977</v>
      </c>
      <c r="F811" s="125"/>
      <c r="G811" s="125"/>
      <c r="H811" s="125"/>
      <c r="I811" s="125"/>
      <c r="J811" s="224">
        <v>79545395.85</v>
      </c>
      <c r="K811" s="224">
        <v>182252747.7</v>
      </c>
      <c r="L811" s="223">
        <v>79545</v>
      </c>
      <c r="M811" s="223">
        <f>182253-23162</f>
        <v>159091</v>
      </c>
      <c r="N811" s="221">
        <f t="shared" si="210"/>
        <v>79545395.85</v>
      </c>
      <c r="O811" s="221">
        <f t="shared" si="210"/>
        <v>182252747.7</v>
      </c>
      <c r="P811" s="238">
        <f t="shared" si="216"/>
        <v>23161</v>
      </c>
    </row>
    <row r="812" spans="1:16" ht="11.25">
      <c r="A812" s="200">
        <v>31546</v>
      </c>
      <c r="B812" s="125" t="s">
        <v>2543</v>
      </c>
      <c r="C812" s="184">
        <v>0</v>
      </c>
      <c r="D812" s="125">
        <v>0</v>
      </c>
      <c r="E812" s="125">
        <v>-85471349521.99998</v>
      </c>
      <c r="F812" s="125"/>
      <c r="G812" s="125"/>
      <c r="H812" s="125"/>
      <c r="I812" s="125"/>
      <c r="J812" s="224"/>
      <c r="K812" s="224"/>
      <c r="L812" s="223">
        <v>0</v>
      </c>
      <c r="M812" s="223">
        <v>0</v>
      </c>
      <c r="N812" s="221">
        <f t="shared" si="210"/>
        <v>0</v>
      </c>
      <c r="O812" s="221">
        <f t="shared" si="210"/>
        <v>0</v>
      </c>
      <c r="P812" s="238">
        <f t="shared" si="216"/>
        <v>0</v>
      </c>
    </row>
    <row r="813" spans="1:16" ht="11.25">
      <c r="A813" s="200">
        <v>31558</v>
      </c>
      <c r="B813" s="125" t="s">
        <v>2564</v>
      </c>
      <c r="C813" s="184">
        <v>30020898</v>
      </c>
      <c r="D813" s="125">
        <v>0</v>
      </c>
      <c r="E813" s="125">
        <v>-729652799.0500002</v>
      </c>
      <c r="F813" s="125"/>
      <c r="G813" s="125"/>
      <c r="H813" s="124"/>
      <c r="I813" s="124"/>
      <c r="J813" s="224">
        <v>170082574046.51</v>
      </c>
      <c r="K813" s="224">
        <v>200103471998.15</v>
      </c>
      <c r="L813" s="223">
        <v>170082574</v>
      </c>
      <c r="M813" s="223"/>
      <c r="N813" s="221">
        <f t="shared" si="210"/>
        <v>170082574046.51</v>
      </c>
      <c r="O813" s="221">
        <f t="shared" si="210"/>
        <v>200103471998.15</v>
      </c>
      <c r="P813" s="238">
        <f t="shared" si="216"/>
        <v>200103472</v>
      </c>
    </row>
    <row r="814" spans="1:16" ht="11.25">
      <c r="A814" s="200">
        <v>31591</v>
      </c>
      <c r="B814" s="125" t="s">
        <v>2565</v>
      </c>
      <c r="C814" s="184">
        <v>19251906</v>
      </c>
      <c r="D814" s="125">
        <v>0</v>
      </c>
      <c r="E814" s="125">
        <v>-28829727629</v>
      </c>
      <c r="F814" s="125"/>
      <c r="G814" s="125"/>
      <c r="H814" s="125"/>
      <c r="I814" s="125"/>
      <c r="J814" s="224">
        <v>19251904919</v>
      </c>
      <c r="K814" s="224">
        <v>38503809838</v>
      </c>
      <c r="L814" s="223">
        <v>19251905</v>
      </c>
      <c r="M814" s="223">
        <v>38503811</v>
      </c>
      <c r="N814" s="221">
        <f t="shared" si="210"/>
        <v>19251904919</v>
      </c>
      <c r="O814" s="221">
        <f t="shared" si="210"/>
        <v>38503809838</v>
      </c>
      <c r="P814" s="238">
        <f t="shared" si="216"/>
        <v>0</v>
      </c>
    </row>
    <row r="815" spans="1:16" ht="11.25">
      <c r="A815" s="198">
        <v>32200</v>
      </c>
      <c r="B815" s="124" t="s">
        <v>2588</v>
      </c>
      <c r="C815" s="220">
        <f aca="true" t="shared" si="217" ref="C815:M815">SUM(C816:C833)</f>
        <v>797897856</v>
      </c>
      <c r="D815" s="220">
        <f t="shared" si="217"/>
        <v>0</v>
      </c>
      <c r="E815" s="220">
        <f t="shared" si="217"/>
        <v>-24560338689.68</v>
      </c>
      <c r="F815" s="220">
        <f t="shared" si="217"/>
        <v>0</v>
      </c>
      <c r="G815" s="220">
        <f t="shared" si="217"/>
        <v>0</v>
      </c>
      <c r="H815" s="220">
        <f t="shared" si="217"/>
        <v>0</v>
      </c>
      <c r="I815" s="220">
        <f t="shared" si="217"/>
        <v>0</v>
      </c>
      <c r="J815" s="220">
        <f t="shared" si="217"/>
        <v>800420737621.66</v>
      </c>
      <c r="K815" s="220">
        <f t="shared" si="217"/>
        <v>1598318591924.16</v>
      </c>
      <c r="L815" s="220">
        <f t="shared" si="217"/>
        <v>800420739</v>
      </c>
      <c r="M815" s="220">
        <f t="shared" si="217"/>
        <v>1595133576</v>
      </c>
      <c r="N815" s="221">
        <f t="shared" si="210"/>
        <v>800420737621.66</v>
      </c>
      <c r="O815" s="221">
        <f t="shared" si="210"/>
        <v>1598318591924.16</v>
      </c>
      <c r="P815" s="238">
        <f>SUM(P816:P833)</f>
        <v>3185019</v>
      </c>
    </row>
    <row r="816" spans="1:16" ht="11.25">
      <c r="A816" s="200">
        <v>32211</v>
      </c>
      <c r="B816" s="125" t="s">
        <v>2549</v>
      </c>
      <c r="C816" s="184">
        <v>8197</v>
      </c>
      <c r="D816" s="125">
        <v>0</v>
      </c>
      <c r="E816" s="125">
        <v>8197446</v>
      </c>
      <c r="F816" s="124"/>
      <c r="G816" s="124"/>
      <c r="H816" s="125"/>
      <c r="I816" s="125"/>
      <c r="J816" s="224">
        <v>8197446</v>
      </c>
      <c r="K816" s="224">
        <v>16394892</v>
      </c>
      <c r="L816" s="223">
        <v>8197</v>
      </c>
      <c r="M816" s="223">
        <v>16394</v>
      </c>
      <c r="N816" s="221">
        <f t="shared" si="210"/>
        <v>8197446</v>
      </c>
      <c r="O816" s="221">
        <f t="shared" si="210"/>
        <v>16394892</v>
      </c>
      <c r="P816" s="238">
        <f aca="true" t="shared" si="218" ref="P816:P833">+C816+L816-M816</f>
        <v>0</v>
      </c>
    </row>
    <row r="817" spans="1:16" ht="11.25">
      <c r="A817" s="200">
        <v>32212</v>
      </c>
      <c r="B817" s="125" t="s">
        <v>2550</v>
      </c>
      <c r="C817" s="184">
        <v>771</v>
      </c>
      <c r="D817" s="125">
        <v>0</v>
      </c>
      <c r="E817" s="125">
        <v>-188544307</v>
      </c>
      <c r="F817" s="124"/>
      <c r="G817" s="124"/>
      <c r="H817" s="125"/>
      <c r="I817" s="125"/>
      <c r="J817" s="224">
        <v>770784</v>
      </c>
      <c r="K817" s="224">
        <v>1541568</v>
      </c>
      <c r="L817" s="223">
        <v>771</v>
      </c>
      <c r="M817" s="223">
        <v>1542</v>
      </c>
      <c r="N817" s="221">
        <f aca="true" t="shared" si="219" ref="N817:O880">+F817+H817+J817</f>
        <v>770784</v>
      </c>
      <c r="O817" s="221">
        <f t="shared" si="219"/>
        <v>1541568</v>
      </c>
      <c r="P817" s="238">
        <f t="shared" si="218"/>
        <v>0</v>
      </c>
    </row>
    <row r="818" spans="1:16" ht="11.25">
      <c r="A818" s="200">
        <v>32213</v>
      </c>
      <c r="B818" s="125" t="s">
        <v>2589</v>
      </c>
      <c r="C818" s="184">
        <v>110</v>
      </c>
      <c r="D818" s="125">
        <v>0</v>
      </c>
      <c r="E818" s="125">
        <v>-7540395</v>
      </c>
      <c r="F818" s="125"/>
      <c r="G818" s="125"/>
      <c r="H818" s="125"/>
      <c r="I818" s="125"/>
      <c r="J818" s="224">
        <v>108940</v>
      </c>
      <c r="K818" s="224">
        <v>217880</v>
      </c>
      <c r="L818" s="223">
        <v>109</v>
      </c>
      <c r="M818" s="223">
        <v>219</v>
      </c>
      <c r="N818" s="221">
        <f t="shared" si="219"/>
        <v>108940</v>
      </c>
      <c r="O818" s="221">
        <f t="shared" si="219"/>
        <v>217880</v>
      </c>
      <c r="P818" s="238">
        <f t="shared" si="218"/>
        <v>0</v>
      </c>
    </row>
    <row r="819" spans="1:16" ht="11.25">
      <c r="A819" s="200">
        <v>32214</v>
      </c>
      <c r="B819" s="125" t="s">
        <v>2552</v>
      </c>
      <c r="C819" s="184">
        <v>41</v>
      </c>
      <c r="D819" s="125">
        <v>0</v>
      </c>
      <c r="E819" s="125">
        <v>-8898719</v>
      </c>
      <c r="F819" s="125"/>
      <c r="G819" s="125"/>
      <c r="H819" s="124"/>
      <c r="I819" s="124"/>
      <c r="J819" s="224">
        <v>39650</v>
      </c>
      <c r="K819" s="224">
        <v>79300</v>
      </c>
      <c r="L819" s="223">
        <v>40</v>
      </c>
      <c r="M819" s="223">
        <v>81</v>
      </c>
      <c r="N819" s="221">
        <f t="shared" si="219"/>
        <v>39650</v>
      </c>
      <c r="O819" s="221">
        <f t="shared" si="219"/>
        <v>79300</v>
      </c>
      <c r="P819" s="238">
        <f t="shared" si="218"/>
        <v>0</v>
      </c>
    </row>
    <row r="820" spans="1:16" ht="11.25">
      <c r="A820" s="200">
        <v>32215</v>
      </c>
      <c r="B820" s="125" t="s">
        <v>2553</v>
      </c>
      <c r="C820" s="184">
        <v>1680</v>
      </c>
      <c r="D820" s="125">
        <v>0</v>
      </c>
      <c r="E820" s="125">
        <v>1679939</v>
      </c>
      <c r="F820" s="125"/>
      <c r="G820" s="125"/>
      <c r="H820" s="124"/>
      <c r="I820" s="124"/>
      <c r="J820" s="224">
        <v>1679939</v>
      </c>
      <c r="K820" s="224">
        <v>3359878</v>
      </c>
      <c r="L820" s="223">
        <v>1680</v>
      </c>
      <c r="M820" s="223">
        <v>3360</v>
      </c>
      <c r="N820" s="221">
        <f t="shared" si="219"/>
        <v>1679939</v>
      </c>
      <c r="O820" s="221">
        <f t="shared" si="219"/>
        <v>3359878</v>
      </c>
      <c r="P820" s="238">
        <f t="shared" si="218"/>
        <v>0</v>
      </c>
    </row>
    <row r="821" spans="1:16" ht="11.25">
      <c r="A821" s="200">
        <v>32216</v>
      </c>
      <c r="B821" s="125" t="s">
        <v>2554</v>
      </c>
      <c r="C821" s="184">
        <v>38984</v>
      </c>
      <c r="D821" s="125">
        <v>0</v>
      </c>
      <c r="E821" s="125">
        <v>-137448676</v>
      </c>
      <c r="F821" s="125"/>
      <c r="G821" s="125"/>
      <c r="H821" s="124"/>
      <c r="I821" s="124"/>
      <c r="J821" s="224">
        <v>28480592</v>
      </c>
      <c r="K821" s="224">
        <v>67464674</v>
      </c>
      <c r="L821" s="223">
        <v>28481</v>
      </c>
      <c r="M821" s="223">
        <f>67465-10503</f>
        <v>56962</v>
      </c>
      <c r="N821" s="221">
        <f t="shared" si="219"/>
        <v>28480592</v>
      </c>
      <c r="O821" s="221">
        <f t="shared" si="219"/>
        <v>67464674</v>
      </c>
      <c r="P821" s="238">
        <f t="shared" si="218"/>
        <v>10503</v>
      </c>
    </row>
    <row r="822" spans="1:16" ht="11.25">
      <c r="A822" s="200">
        <v>32217</v>
      </c>
      <c r="B822" s="125" t="s">
        <v>2590</v>
      </c>
      <c r="C822" s="184">
        <v>0</v>
      </c>
      <c r="D822" s="125">
        <v>0</v>
      </c>
      <c r="E822" s="125">
        <v>0</v>
      </c>
      <c r="F822" s="125"/>
      <c r="G822" s="125"/>
      <c r="H822" s="125"/>
      <c r="I822" s="125"/>
      <c r="J822" s="224">
        <v>15049322</v>
      </c>
      <c r="K822" s="224">
        <v>15049322</v>
      </c>
      <c r="L822" s="223">
        <v>15049</v>
      </c>
      <c r="M822" s="223"/>
      <c r="N822" s="221">
        <f t="shared" si="219"/>
        <v>15049322</v>
      </c>
      <c r="O822" s="221">
        <f t="shared" si="219"/>
        <v>15049322</v>
      </c>
      <c r="P822" s="238">
        <f t="shared" si="218"/>
        <v>15049</v>
      </c>
    </row>
    <row r="823" spans="1:16" ht="11.25">
      <c r="A823" s="200">
        <v>32218</v>
      </c>
      <c r="B823" s="125" t="s">
        <v>2567</v>
      </c>
      <c r="C823" s="184">
        <v>0</v>
      </c>
      <c r="D823" s="125">
        <v>0</v>
      </c>
      <c r="E823" s="125">
        <v>0</v>
      </c>
      <c r="F823" s="125"/>
      <c r="G823" s="125"/>
      <c r="H823" s="125"/>
      <c r="I823" s="125"/>
      <c r="J823" s="224"/>
      <c r="K823" s="224"/>
      <c r="L823" s="223">
        <v>0</v>
      </c>
      <c r="M823" s="223">
        <v>0</v>
      </c>
      <c r="N823" s="221">
        <f t="shared" si="219"/>
        <v>0</v>
      </c>
      <c r="O823" s="221">
        <f t="shared" si="219"/>
        <v>0</v>
      </c>
      <c r="P823" s="238">
        <f t="shared" si="218"/>
        <v>0</v>
      </c>
    </row>
    <row r="824" spans="1:16" ht="11.25">
      <c r="A824" s="200">
        <v>32220</v>
      </c>
      <c r="B824" s="125" t="s">
        <v>2538</v>
      </c>
      <c r="C824" s="184">
        <v>0</v>
      </c>
      <c r="D824" s="125">
        <v>0</v>
      </c>
      <c r="E824" s="125">
        <v>0</v>
      </c>
      <c r="F824" s="124"/>
      <c r="G824" s="124"/>
      <c r="H824" s="125"/>
      <c r="I824" s="125"/>
      <c r="J824" s="224">
        <v>1764673649.11</v>
      </c>
      <c r="K824" s="224">
        <v>1764673649.11</v>
      </c>
      <c r="L824" s="223">
        <v>1764674</v>
      </c>
      <c r="M824" s="223"/>
      <c r="N824" s="221">
        <f t="shared" si="219"/>
        <v>1764673649.11</v>
      </c>
      <c r="O824" s="221">
        <f t="shared" si="219"/>
        <v>1764673649.11</v>
      </c>
      <c r="P824" s="238">
        <f t="shared" si="218"/>
        <v>1764674</v>
      </c>
    </row>
    <row r="825" spans="1:16" ht="11.25">
      <c r="A825" s="200">
        <v>32221</v>
      </c>
      <c r="B825" s="125" t="s">
        <v>2575</v>
      </c>
      <c r="C825" s="184">
        <v>7058</v>
      </c>
      <c r="D825" s="125">
        <v>0</v>
      </c>
      <c r="E825" s="125">
        <v>1420127.5</v>
      </c>
      <c r="F825" s="125"/>
      <c r="G825" s="125"/>
      <c r="H825" s="125"/>
      <c r="I825" s="125"/>
      <c r="J825" s="224">
        <v>7058014.5</v>
      </c>
      <c r="K825" s="224">
        <v>14116029</v>
      </c>
      <c r="L825" s="223">
        <v>7058</v>
      </c>
      <c r="M825" s="223">
        <v>14116</v>
      </c>
      <c r="N825" s="221">
        <f t="shared" si="219"/>
        <v>7058014.5</v>
      </c>
      <c r="O825" s="221">
        <f t="shared" si="219"/>
        <v>14116029</v>
      </c>
      <c r="P825" s="238">
        <f t="shared" si="218"/>
        <v>0</v>
      </c>
    </row>
    <row r="826" spans="1:16" ht="22.5">
      <c r="A826" s="200">
        <v>32232</v>
      </c>
      <c r="B826" s="125" t="s">
        <v>2558</v>
      </c>
      <c r="C826" s="184">
        <v>0</v>
      </c>
      <c r="D826" s="125">
        <v>0</v>
      </c>
      <c r="E826" s="125">
        <v>0</v>
      </c>
      <c r="F826" s="125"/>
      <c r="G826" s="125"/>
      <c r="H826" s="125"/>
      <c r="I826" s="125"/>
      <c r="J826" s="224"/>
      <c r="K826" s="224"/>
      <c r="L826" s="223">
        <v>0</v>
      </c>
      <c r="M826" s="223">
        <v>0</v>
      </c>
      <c r="N826" s="221">
        <f t="shared" si="219"/>
        <v>0</v>
      </c>
      <c r="O826" s="221">
        <f t="shared" si="219"/>
        <v>0</v>
      </c>
      <c r="P826" s="238">
        <f t="shared" si="218"/>
        <v>0</v>
      </c>
    </row>
    <row r="827" spans="1:16" ht="11.25">
      <c r="A827" s="200">
        <v>32234</v>
      </c>
      <c r="B827" s="125" t="s">
        <v>2559</v>
      </c>
      <c r="C827" s="184">
        <v>0</v>
      </c>
      <c r="D827" s="125">
        <v>0</v>
      </c>
      <c r="E827" s="125">
        <v>0</v>
      </c>
      <c r="F827" s="125"/>
      <c r="G827" s="125"/>
      <c r="H827" s="125"/>
      <c r="I827" s="125"/>
      <c r="J827" s="224"/>
      <c r="K827" s="224"/>
      <c r="L827" s="223">
        <v>0</v>
      </c>
      <c r="M827" s="223">
        <v>0</v>
      </c>
      <c r="N827" s="221">
        <f t="shared" si="219"/>
        <v>0</v>
      </c>
      <c r="O827" s="221">
        <f t="shared" si="219"/>
        <v>0</v>
      </c>
      <c r="P827" s="238">
        <f t="shared" si="218"/>
        <v>0</v>
      </c>
    </row>
    <row r="828" spans="1:16" ht="11.25">
      <c r="A828" s="200">
        <v>32238</v>
      </c>
      <c r="B828" s="125" t="s">
        <v>2560</v>
      </c>
      <c r="C828" s="184">
        <v>78464427</v>
      </c>
      <c r="D828" s="125">
        <v>0</v>
      </c>
      <c r="E828" s="125">
        <v>78464427</v>
      </c>
      <c r="F828" s="125"/>
      <c r="G828" s="125"/>
      <c r="H828" s="124"/>
      <c r="I828" s="124"/>
      <c r="J828" s="224">
        <v>78464427000</v>
      </c>
      <c r="K828" s="224">
        <v>156928854000</v>
      </c>
      <c r="L828" s="223">
        <v>78464427</v>
      </c>
      <c r="M828" s="223">
        <v>156928854</v>
      </c>
      <c r="N828" s="221">
        <f t="shared" si="219"/>
        <v>78464427000</v>
      </c>
      <c r="O828" s="221">
        <f t="shared" si="219"/>
        <v>156928854000</v>
      </c>
      <c r="P828" s="238">
        <f t="shared" si="218"/>
        <v>0</v>
      </c>
    </row>
    <row r="829" spans="1:16" ht="11.25">
      <c r="A829" s="200">
        <v>32243</v>
      </c>
      <c r="B829" s="125" t="s">
        <v>2568</v>
      </c>
      <c r="C829" s="184">
        <v>0</v>
      </c>
      <c r="D829" s="125">
        <v>0</v>
      </c>
      <c r="E829" s="125">
        <v>0</v>
      </c>
      <c r="F829" s="124"/>
      <c r="G829" s="124"/>
      <c r="H829" s="125"/>
      <c r="I829" s="125"/>
      <c r="J829" s="224"/>
      <c r="K829" s="224"/>
      <c r="L829" s="223">
        <v>0</v>
      </c>
      <c r="M829" s="223">
        <v>0</v>
      </c>
      <c r="N829" s="221">
        <f t="shared" si="219"/>
        <v>0</v>
      </c>
      <c r="O829" s="221">
        <f t="shared" si="219"/>
        <v>0</v>
      </c>
      <c r="P829" s="238">
        <f t="shared" si="218"/>
        <v>0</v>
      </c>
    </row>
    <row r="830" spans="1:16" ht="11.25">
      <c r="A830" s="200">
        <v>32244</v>
      </c>
      <c r="B830" s="125" t="s">
        <v>2591</v>
      </c>
      <c r="C830" s="184">
        <v>0</v>
      </c>
      <c r="D830" s="125">
        <v>0</v>
      </c>
      <c r="E830" s="125">
        <v>0</v>
      </c>
      <c r="F830" s="125"/>
      <c r="G830" s="125"/>
      <c r="H830" s="125"/>
      <c r="I830" s="125"/>
      <c r="J830" s="224">
        <v>46936635.52</v>
      </c>
      <c r="K830" s="224">
        <v>46936635.52</v>
      </c>
      <c r="L830" s="223">
        <v>46937</v>
      </c>
      <c r="M830" s="223"/>
      <c r="N830" s="221">
        <f t="shared" si="219"/>
        <v>46936635.52</v>
      </c>
      <c r="O830" s="221">
        <f t="shared" si="219"/>
        <v>46936635.52</v>
      </c>
      <c r="P830" s="238">
        <f t="shared" si="218"/>
        <v>46937</v>
      </c>
    </row>
    <row r="831" spans="1:16" ht="11.25">
      <c r="A831" s="200">
        <v>32246</v>
      </c>
      <c r="B831" s="125" t="s">
        <v>2543</v>
      </c>
      <c r="C831" s="184">
        <v>0</v>
      </c>
      <c r="D831" s="125">
        <v>0</v>
      </c>
      <c r="E831" s="125">
        <v>0</v>
      </c>
      <c r="F831" s="125"/>
      <c r="G831" s="125"/>
      <c r="H831" s="125"/>
      <c r="I831" s="125"/>
      <c r="J831" s="224">
        <v>493710931</v>
      </c>
      <c r="K831" s="224">
        <v>493710931</v>
      </c>
      <c r="L831" s="223">
        <v>493711</v>
      </c>
      <c r="M831" s="223"/>
      <c r="N831" s="221">
        <f t="shared" si="219"/>
        <v>493710931</v>
      </c>
      <c r="O831" s="221">
        <f t="shared" si="219"/>
        <v>493710931</v>
      </c>
      <c r="P831" s="238">
        <f t="shared" si="218"/>
        <v>493711</v>
      </c>
    </row>
    <row r="832" spans="1:16" ht="11.25">
      <c r="A832" s="200">
        <v>32258</v>
      </c>
      <c r="B832" s="125" t="s">
        <v>2578</v>
      </c>
      <c r="C832" s="184">
        <v>430689</v>
      </c>
      <c r="D832" s="125">
        <v>0</v>
      </c>
      <c r="E832" s="125">
        <v>230687962.81999993</v>
      </c>
      <c r="F832" s="124"/>
      <c r="G832" s="124"/>
      <c r="H832" s="125"/>
      <c r="I832" s="125"/>
      <c r="J832" s="224">
        <v>643705195.53</v>
      </c>
      <c r="K832" s="224">
        <v>1074394119.53</v>
      </c>
      <c r="L832" s="223">
        <v>643705</v>
      </c>
      <c r="M832" s="223">
        <f>1074394-854145</f>
        <v>220249</v>
      </c>
      <c r="N832" s="221">
        <f t="shared" si="219"/>
        <v>643705195.53</v>
      </c>
      <c r="O832" s="221">
        <f t="shared" si="219"/>
        <v>1074394119.53</v>
      </c>
      <c r="P832" s="238">
        <f t="shared" si="218"/>
        <v>854145</v>
      </c>
    </row>
    <row r="833" spans="1:16" ht="11.25">
      <c r="A833" s="200">
        <v>32291</v>
      </c>
      <c r="B833" s="125" t="s">
        <v>2565</v>
      </c>
      <c r="C833" s="184">
        <v>718945899</v>
      </c>
      <c r="D833" s="125">
        <v>0</v>
      </c>
      <c r="E833" s="125">
        <v>-24538356495</v>
      </c>
      <c r="F833" s="124"/>
      <c r="G833" s="124"/>
      <c r="H833" s="124"/>
      <c r="I833" s="124"/>
      <c r="J833" s="224">
        <v>718945899523</v>
      </c>
      <c r="K833" s="224">
        <v>1437891799046</v>
      </c>
      <c r="L833" s="223">
        <v>718945900</v>
      </c>
      <c r="M833" s="223">
        <v>1437891799</v>
      </c>
      <c r="N833" s="221">
        <f t="shared" si="219"/>
        <v>718945899523</v>
      </c>
      <c r="O833" s="221">
        <f t="shared" si="219"/>
        <v>1437891799046</v>
      </c>
      <c r="P833" s="238">
        <f t="shared" si="218"/>
        <v>0</v>
      </c>
    </row>
    <row r="834" spans="1:16" ht="11.25">
      <c r="A834" s="198">
        <v>33000</v>
      </c>
      <c r="B834" s="124" t="s">
        <v>2592</v>
      </c>
      <c r="C834" s="220">
        <f aca="true" t="shared" si="220" ref="C834:M834">SUM(C835:C852)</f>
        <v>8748003389</v>
      </c>
      <c r="D834" s="220">
        <f t="shared" si="220"/>
        <v>0</v>
      </c>
      <c r="E834" s="220">
        <f t="shared" si="220"/>
        <v>2900229108318.5</v>
      </c>
      <c r="F834" s="220">
        <f t="shared" si="220"/>
        <v>0</v>
      </c>
      <c r="G834" s="220">
        <f t="shared" si="220"/>
        <v>0</v>
      </c>
      <c r="H834" s="220">
        <f t="shared" si="220"/>
        <v>0</v>
      </c>
      <c r="I834" s="220">
        <f t="shared" si="220"/>
        <v>0</v>
      </c>
      <c r="J834" s="220">
        <f t="shared" si="220"/>
        <v>4033708138261.5596</v>
      </c>
      <c r="K834" s="220">
        <f t="shared" si="220"/>
        <v>12781711532500.25</v>
      </c>
      <c r="L834" s="220">
        <f t="shared" si="220"/>
        <v>4033708143</v>
      </c>
      <c r="M834" s="220">
        <f t="shared" si="220"/>
        <v>0</v>
      </c>
      <c r="N834" s="221">
        <f t="shared" si="219"/>
        <v>4033708138261.5596</v>
      </c>
      <c r="O834" s="221">
        <f t="shared" si="219"/>
        <v>12781711532500.25</v>
      </c>
      <c r="P834" s="238">
        <f>SUM(P835:P852)</f>
        <v>12781711532</v>
      </c>
    </row>
    <row r="835" spans="1:16" ht="11.25">
      <c r="A835" s="200">
        <v>33011</v>
      </c>
      <c r="B835" s="125" t="s">
        <v>2549</v>
      </c>
      <c r="C835" s="184">
        <v>8033368</v>
      </c>
      <c r="D835" s="125">
        <v>0</v>
      </c>
      <c r="E835" s="125">
        <v>2555375521</v>
      </c>
      <c r="F835" s="125"/>
      <c r="G835" s="125"/>
      <c r="H835" s="125"/>
      <c r="I835" s="125"/>
      <c r="J835" s="224">
        <v>3656330503</v>
      </c>
      <c r="K835" s="224">
        <v>11689698766</v>
      </c>
      <c r="L835" s="223">
        <v>3656331</v>
      </c>
      <c r="M835" s="223"/>
      <c r="N835" s="221">
        <f t="shared" si="219"/>
        <v>3656330503</v>
      </c>
      <c r="O835" s="221">
        <f t="shared" si="219"/>
        <v>11689698766</v>
      </c>
      <c r="P835" s="238">
        <f aca="true" t="shared" si="221" ref="P835:P852">+C835+L835-M835</f>
        <v>11689699</v>
      </c>
    </row>
    <row r="836" spans="1:16" ht="11.25">
      <c r="A836" s="200">
        <v>33012</v>
      </c>
      <c r="B836" s="125" t="s">
        <v>2550</v>
      </c>
      <c r="C836" s="184">
        <v>219819</v>
      </c>
      <c r="D836" s="125">
        <v>0</v>
      </c>
      <c r="E836" s="125">
        <v>-983563219</v>
      </c>
      <c r="F836" s="124"/>
      <c r="G836" s="124"/>
      <c r="H836" s="124"/>
      <c r="I836" s="124"/>
      <c r="J836" s="224">
        <v>244591395</v>
      </c>
      <c r="K836" s="224">
        <v>464410755</v>
      </c>
      <c r="L836" s="223">
        <v>244592</v>
      </c>
      <c r="M836" s="223"/>
      <c r="N836" s="221">
        <f t="shared" si="219"/>
        <v>244591395</v>
      </c>
      <c r="O836" s="221">
        <f t="shared" si="219"/>
        <v>464410755</v>
      </c>
      <c r="P836" s="238">
        <f t="shared" si="221"/>
        <v>464411</v>
      </c>
    </row>
    <row r="837" spans="1:16" ht="11.25">
      <c r="A837" s="200">
        <v>33013</v>
      </c>
      <c r="B837" s="125" t="s">
        <v>2589</v>
      </c>
      <c r="C837" s="184">
        <v>1102474</v>
      </c>
      <c r="D837" s="125">
        <v>0</v>
      </c>
      <c r="E837" s="125">
        <v>462286354</v>
      </c>
      <c r="F837" s="125"/>
      <c r="G837" s="125"/>
      <c r="H837" s="124"/>
      <c r="I837" s="124"/>
      <c r="J837" s="224">
        <v>391582797</v>
      </c>
      <c r="K837" s="224">
        <v>1494056978</v>
      </c>
      <c r="L837" s="223">
        <v>391583</v>
      </c>
      <c r="M837" s="223"/>
      <c r="N837" s="221">
        <f t="shared" si="219"/>
        <v>391582797</v>
      </c>
      <c r="O837" s="221">
        <f t="shared" si="219"/>
        <v>1494056978</v>
      </c>
      <c r="P837" s="238">
        <f t="shared" si="221"/>
        <v>1494057</v>
      </c>
    </row>
    <row r="838" spans="1:16" ht="11.25">
      <c r="A838" s="200">
        <v>33014</v>
      </c>
      <c r="B838" s="125" t="s">
        <v>2552</v>
      </c>
      <c r="C838" s="184">
        <v>1429985</v>
      </c>
      <c r="D838" s="125">
        <v>0</v>
      </c>
      <c r="E838" s="125">
        <v>549772305</v>
      </c>
      <c r="F838" s="124"/>
      <c r="G838" s="124"/>
      <c r="H838" s="125"/>
      <c r="I838" s="125"/>
      <c r="J838" s="224">
        <v>582189048</v>
      </c>
      <c r="K838" s="224">
        <v>2012174147</v>
      </c>
      <c r="L838" s="223">
        <v>582189</v>
      </c>
      <c r="M838" s="223"/>
      <c r="N838" s="221">
        <f t="shared" si="219"/>
        <v>582189048</v>
      </c>
      <c r="O838" s="221">
        <f t="shared" si="219"/>
        <v>2012174147</v>
      </c>
      <c r="P838" s="238">
        <f t="shared" si="221"/>
        <v>2012174</v>
      </c>
    </row>
    <row r="839" spans="1:16" ht="11.25">
      <c r="A839" s="200">
        <v>33015</v>
      </c>
      <c r="B839" s="125" t="s">
        <v>2553</v>
      </c>
      <c r="C839" s="184">
        <v>165495</v>
      </c>
      <c r="D839" s="125">
        <v>0</v>
      </c>
      <c r="E839" s="125">
        <v>-594486876.61</v>
      </c>
      <c r="F839" s="125"/>
      <c r="G839" s="125"/>
      <c r="H839" s="125"/>
      <c r="I839" s="125"/>
      <c r="J839" s="224">
        <v>129753757.79</v>
      </c>
      <c r="K839" s="224">
        <v>295249252.57</v>
      </c>
      <c r="L839" s="223">
        <v>129754</v>
      </c>
      <c r="M839" s="223"/>
      <c r="N839" s="221">
        <f t="shared" si="219"/>
        <v>129753757.79</v>
      </c>
      <c r="O839" s="221">
        <f t="shared" si="219"/>
        <v>295249252.57</v>
      </c>
      <c r="P839" s="238">
        <f t="shared" si="221"/>
        <v>295249</v>
      </c>
    </row>
    <row r="840" spans="1:16" ht="11.25">
      <c r="A840" s="200">
        <v>33016</v>
      </c>
      <c r="B840" s="125" t="s">
        <v>2593</v>
      </c>
      <c r="C840" s="184">
        <v>887343</v>
      </c>
      <c r="D840" s="125">
        <v>0</v>
      </c>
      <c r="E840" s="125">
        <v>173291770.20999998</v>
      </c>
      <c r="F840" s="124"/>
      <c r="G840" s="124"/>
      <c r="H840" s="124"/>
      <c r="I840" s="124"/>
      <c r="J840" s="224">
        <v>713187601.26</v>
      </c>
      <c r="K840" s="224">
        <v>1600529354.68</v>
      </c>
      <c r="L840" s="223">
        <v>713187</v>
      </c>
      <c r="M840" s="223"/>
      <c r="N840" s="221">
        <f t="shared" si="219"/>
        <v>713187601.26</v>
      </c>
      <c r="O840" s="221">
        <f t="shared" si="219"/>
        <v>1600529354.68</v>
      </c>
      <c r="P840" s="238">
        <f t="shared" si="221"/>
        <v>1600530</v>
      </c>
    </row>
    <row r="841" spans="1:16" ht="11.25">
      <c r="A841" s="200">
        <v>33017</v>
      </c>
      <c r="B841" s="125" t="s">
        <v>2590</v>
      </c>
      <c r="C841" s="184">
        <v>27613</v>
      </c>
      <c r="D841" s="125">
        <v>0</v>
      </c>
      <c r="E841" s="125">
        <v>-13355514.85</v>
      </c>
      <c r="F841" s="124"/>
      <c r="G841" s="124"/>
      <c r="H841" s="125"/>
      <c r="I841" s="125"/>
      <c r="J841" s="224">
        <v>77300000</v>
      </c>
      <c r="K841" s="224">
        <v>104913000</v>
      </c>
      <c r="L841" s="223">
        <v>77300</v>
      </c>
      <c r="M841" s="223"/>
      <c r="N841" s="221">
        <f t="shared" si="219"/>
        <v>77300000</v>
      </c>
      <c r="O841" s="221">
        <f t="shared" si="219"/>
        <v>104913000</v>
      </c>
      <c r="P841" s="238">
        <f t="shared" si="221"/>
        <v>104913</v>
      </c>
    </row>
    <row r="842" spans="1:16" ht="11.25">
      <c r="A842" s="200">
        <v>33018</v>
      </c>
      <c r="B842" s="125" t="s">
        <v>2583</v>
      </c>
      <c r="C842" s="184">
        <v>0</v>
      </c>
      <c r="D842" s="125">
        <v>0</v>
      </c>
      <c r="E842" s="125">
        <v>0</v>
      </c>
      <c r="F842" s="125"/>
      <c r="G842" s="125"/>
      <c r="H842" s="124"/>
      <c r="I842" s="124"/>
      <c r="J842" s="224"/>
      <c r="K842" s="224"/>
      <c r="L842" s="223">
        <v>0</v>
      </c>
      <c r="M842" s="223">
        <v>0</v>
      </c>
      <c r="N842" s="221">
        <f t="shared" si="219"/>
        <v>0</v>
      </c>
      <c r="O842" s="221">
        <f t="shared" si="219"/>
        <v>0</v>
      </c>
      <c r="P842" s="238">
        <f t="shared" si="221"/>
        <v>0</v>
      </c>
    </row>
    <row r="843" spans="1:16" ht="11.25">
      <c r="A843" s="200">
        <v>33020</v>
      </c>
      <c r="B843" s="125" t="s">
        <v>2538</v>
      </c>
      <c r="C843" s="184">
        <v>12063422</v>
      </c>
      <c r="D843" s="125">
        <v>0</v>
      </c>
      <c r="E843" s="125">
        <v>1533945454</v>
      </c>
      <c r="F843" s="124"/>
      <c r="G843" s="124"/>
      <c r="H843" s="125"/>
      <c r="I843" s="125"/>
      <c r="J843" s="224">
        <v>29342591209.89</v>
      </c>
      <c r="K843" s="224">
        <v>41406014155.89</v>
      </c>
      <c r="L843" s="223">
        <v>29342592</v>
      </c>
      <c r="M843" s="223"/>
      <c r="N843" s="221">
        <f t="shared" si="219"/>
        <v>29342591209.89</v>
      </c>
      <c r="O843" s="221">
        <f t="shared" si="219"/>
        <v>41406014155.89</v>
      </c>
      <c r="P843" s="238">
        <f t="shared" si="221"/>
        <v>41406014</v>
      </c>
    </row>
    <row r="844" spans="1:16" ht="11.25">
      <c r="A844" s="200">
        <v>33021</v>
      </c>
      <c r="B844" s="125" t="s">
        <v>2575</v>
      </c>
      <c r="C844" s="184">
        <v>1421123</v>
      </c>
      <c r="D844" s="125">
        <v>0</v>
      </c>
      <c r="E844" s="125">
        <v>672968692.5</v>
      </c>
      <c r="F844" s="124"/>
      <c r="G844" s="124"/>
      <c r="H844" s="124"/>
      <c r="I844" s="124"/>
      <c r="J844" s="224">
        <v>634502245.5</v>
      </c>
      <c r="K844" s="224">
        <v>2055625472</v>
      </c>
      <c r="L844" s="223">
        <v>634502</v>
      </c>
      <c r="M844" s="223"/>
      <c r="N844" s="221">
        <f t="shared" si="219"/>
        <v>634502245.5</v>
      </c>
      <c r="O844" s="221">
        <f t="shared" si="219"/>
        <v>2055625472</v>
      </c>
      <c r="P844" s="238">
        <f t="shared" si="221"/>
        <v>2055625</v>
      </c>
    </row>
    <row r="845" spans="1:16" ht="22.5">
      <c r="A845" s="200">
        <v>33032</v>
      </c>
      <c r="B845" s="125" t="s">
        <v>2558</v>
      </c>
      <c r="C845" s="184">
        <v>2974910</v>
      </c>
      <c r="D845" s="125">
        <v>0</v>
      </c>
      <c r="E845" s="125">
        <v>1074381941</v>
      </c>
      <c r="F845" s="125"/>
      <c r="G845" s="125"/>
      <c r="H845" s="124"/>
      <c r="I845" s="124"/>
      <c r="J845" s="224">
        <v>1197142633</v>
      </c>
      <c r="K845" s="224">
        <v>4172051655</v>
      </c>
      <c r="L845" s="223">
        <v>1197142</v>
      </c>
      <c r="M845" s="223"/>
      <c r="N845" s="221">
        <f t="shared" si="219"/>
        <v>1197142633</v>
      </c>
      <c r="O845" s="221">
        <f t="shared" si="219"/>
        <v>4172051655</v>
      </c>
      <c r="P845" s="238">
        <f t="shared" si="221"/>
        <v>4172052</v>
      </c>
    </row>
    <row r="846" spans="1:16" ht="11.25">
      <c r="A846" s="200">
        <v>33034</v>
      </c>
      <c r="B846" s="125" t="s">
        <v>2559</v>
      </c>
      <c r="C846" s="184">
        <v>635710</v>
      </c>
      <c r="D846" s="125">
        <v>0</v>
      </c>
      <c r="E846" s="125">
        <v>635710</v>
      </c>
      <c r="F846" s="125"/>
      <c r="G846" s="125"/>
      <c r="H846" s="125"/>
      <c r="I846" s="125"/>
      <c r="J846" s="224">
        <v>0</v>
      </c>
      <c r="K846" s="224">
        <v>635710214.21</v>
      </c>
      <c r="L846" s="223">
        <v>0</v>
      </c>
      <c r="M846" s="223"/>
      <c r="N846" s="221">
        <f t="shared" si="219"/>
        <v>0</v>
      </c>
      <c r="O846" s="221">
        <f t="shared" si="219"/>
        <v>635710214.21</v>
      </c>
      <c r="P846" s="238">
        <f t="shared" si="221"/>
        <v>635710</v>
      </c>
    </row>
    <row r="847" spans="1:16" ht="11.25">
      <c r="A847" s="200">
        <v>33038</v>
      </c>
      <c r="B847" s="125" t="s">
        <v>2560</v>
      </c>
      <c r="C847" s="184">
        <v>1195404295</v>
      </c>
      <c r="D847" s="125">
        <v>0</v>
      </c>
      <c r="E847" s="125">
        <v>424245232947</v>
      </c>
      <c r="F847" s="125"/>
      <c r="G847" s="125"/>
      <c r="H847" s="124"/>
      <c r="I847" s="124"/>
      <c r="J847" s="224">
        <v>745580009772</v>
      </c>
      <c r="K847" s="224">
        <v>1940984308270</v>
      </c>
      <c r="L847" s="223">
        <v>745580013</v>
      </c>
      <c r="M847" s="223"/>
      <c r="N847" s="221">
        <f t="shared" si="219"/>
        <v>745580009772</v>
      </c>
      <c r="O847" s="221">
        <f t="shared" si="219"/>
        <v>1940984308270</v>
      </c>
      <c r="P847" s="238">
        <f t="shared" si="221"/>
        <v>1940984308</v>
      </c>
    </row>
    <row r="848" spans="1:16" ht="11.25">
      <c r="A848" s="200">
        <v>33043</v>
      </c>
      <c r="B848" s="125" t="s">
        <v>2568</v>
      </c>
      <c r="C848" s="184">
        <v>4887147</v>
      </c>
      <c r="D848" s="125">
        <v>0</v>
      </c>
      <c r="E848" s="125">
        <v>2861032127</v>
      </c>
      <c r="F848" s="125"/>
      <c r="G848" s="125"/>
      <c r="H848" s="124"/>
      <c r="I848" s="124"/>
      <c r="J848" s="224">
        <v>1503798834.5</v>
      </c>
      <c r="K848" s="224">
        <v>6390946025.5</v>
      </c>
      <c r="L848" s="223">
        <v>1503799</v>
      </c>
      <c r="M848" s="223"/>
      <c r="N848" s="221">
        <f t="shared" si="219"/>
        <v>1503798834.5</v>
      </c>
      <c r="O848" s="221">
        <f t="shared" si="219"/>
        <v>6390946025.5</v>
      </c>
      <c r="P848" s="238">
        <f t="shared" si="221"/>
        <v>6390946</v>
      </c>
    </row>
    <row r="849" spans="1:16" ht="11.25">
      <c r="A849" s="200">
        <v>33044</v>
      </c>
      <c r="B849" s="125" t="s">
        <v>2569</v>
      </c>
      <c r="C849" s="184">
        <v>2123156</v>
      </c>
      <c r="D849" s="125">
        <v>0</v>
      </c>
      <c r="E849" s="125">
        <v>1548898173.79</v>
      </c>
      <c r="F849" s="125"/>
      <c r="G849" s="125"/>
      <c r="H849" s="125"/>
      <c r="I849" s="125"/>
      <c r="J849" s="224">
        <v>323041427.34</v>
      </c>
      <c r="K849" s="224">
        <v>2446197714.35</v>
      </c>
      <c r="L849" s="223">
        <v>323042</v>
      </c>
      <c r="M849" s="223"/>
      <c r="N849" s="221">
        <f t="shared" si="219"/>
        <v>323041427.34</v>
      </c>
      <c r="O849" s="221">
        <f t="shared" si="219"/>
        <v>2446197714.35</v>
      </c>
      <c r="P849" s="238">
        <f t="shared" si="221"/>
        <v>2446198</v>
      </c>
    </row>
    <row r="850" spans="1:16" ht="11.25">
      <c r="A850" s="200">
        <v>33046</v>
      </c>
      <c r="B850" s="125" t="s">
        <v>2563</v>
      </c>
      <c r="C850" s="184">
        <v>953470739</v>
      </c>
      <c r="D850" s="125">
        <v>0</v>
      </c>
      <c r="E850" s="125">
        <v>262713030394.83002</v>
      </c>
      <c r="F850" s="124"/>
      <c r="G850" s="124"/>
      <c r="H850" s="125"/>
      <c r="I850" s="125"/>
      <c r="J850" s="224">
        <v>517895896906</v>
      </c>
      <c r="K850" s="224">
        <v>1471366636226.83</v>
      </c>
      <c r="L850" s="223">
        <v>517895897</v>
      </c>
      <c r="M850" s="223"/>
      <c r="N850" s="221">
        <f t="shared" si="219"/>
        <v>517895896906</v>
      </c>
      <c r="O850" s="221">
        <f t="shared" si="219"/>
        <v>1471366636226.83</v>
      </c>
      <c r="P850" s="238">
        <f t="shared" si="221"/>
        <v>1471366636</v>
      </c>
    </row>
    <row r="851" spans="1:16" ht="11.25">
      <c r="A851" s="200">
        <v>33058</v>
      </c>
      <c r="B851" s="125" t="s">
        <v>2594</v>
      </c>
      <c r="C851" s="184">
        <v>74149002</v>
      </c>
      <c r="D851" s="125">
        <v>0</v>
      </c>
      <c r="E851" s="125">
        <v>16009315731.63</v>
      </c>
      <c r="F851" s="125"/>
      <c r="G851" s="125"/>
      <c r="H851" s="125"/>
      <c r="I851" s="125"/>
      <c r="J851" s="224">
        <v>61879989904.28</v>
      </c>
      <c r="K851" s="224">
        <v>136028992342.22</v>
      </c>
      <c r="L851" s="223">
        <v>61879990</v>
      </c>
      <c r="M851" s="223"/>
      <c r="N851" s="221">
        <f t="shared" si="219"/>
        <v>61879989904.28</v>
      </c>
      <c r="O851" s="221">
        <f t="shared" si="219"/>
        <v>136028992342.22</v>
      </c>
      <c r="P851" s="238">
        <f t="shared" si="221"/>
        <v>136028992</v>
      </c>
    </row>
    <row r="852" spans="1:16" ht="11.25">
      <c r="A852" s="200">
        <v>33091</v>
      </c>
      <c r="B852" s="125" t="s">
        <v>2565</v>
      </c>
      <c r="C852" s="184">
        <v>6489007788</v>
      </c>
      <c r="D852" s="125">
        <v>0</v>
      </c>
      <c r="E852" s="125">
        <v>2187420346807</v>
      </c>
      <c r="F852" s="125"/>
      <c r="G852" s="125"/>
      <c r="H852" s="125"/>
      <c r="I852" s="125"/>
      <c r="J852" s="224">
        <v>2669556230227</v>
      </c>
      <c r="K852" s="224">
        <v>9158564018171</v>
      </c>
      <c r="L852" s="223">
        <v>2669556230</v>
      </c>
      <c r="M852" s="223"/>
      <c r="N852" s="221">
        <f t="shared" si="219"/>
        <v>2669556230227</v>
      </c>
      <c r="O852" s="221">
        <f t="shared" si="219"/>
        <v>9158564018171</v>
      </c>
      <c r="P852" s="238">
        <f t="shared" si="221"/>
        <v>9158564018</v>
      </c>
    </row>
    <row r="853" spans="1:16" ht="11.25">
      <c r="A853" s="198">
        <v>40000</v>
      </c>
      <c r="B853" s="124" t="s">
        <v>2520</v>
      </c>
      <c r="C853" s="220">
        <f aca="true" t="shared" si="222" ref="C853:M853">C854+C859+C865+C870</f>
        <v>0</v>
      </c>
      <c r="D853" s="220">
        <f t="shared" si="222"/>
        <v>0</v>
      </c>
      <c r="E853" s="220">
        <f t="shared" si="222"/>
        <v>-7225296607.569992</v>
      </c>
      <c r="F853" s="220">
        <f t="shared" si="222"/>
        <v>0</v>
      </c>
      <c r="G853" s="220">
        <f t="shared" si="222"/>
        <v>0</v>
      </c>
      <c r="H853" s="220">
        <f t="shared" si="222"/>
        <v>0</v>
      </c>
      <c r="I853" s="220">
        <f t="shared" si="222"/>
        <v>0</v>
      </c>
      <c r="J853" s="220">
        <f t="shared" si="222"/>
        <v>527464021758.47</v>
      </c>
      <c r="K853" s="220">
        <f t="shared" si="222"/>
        <v>527464021758.47</v>
      </c>
      <c r="L853" s="220">
        <f t="shared" si="222"/>
        <v>312372062</v>
      </c>
      <c r="M853" s="220">
        <f t="shared" si="222"/>
        <v>312372062</v>
      </c>
      <c r="N853" s="221">
        <f t="shared" si="219"/>
        <v>527464021758.47</v>
      </c>
      <c r="O853" s="221">
        <f t="shared" si="219"/>
        <v>527464021758.47</v>
      </c>
      <c r="P853" s="238">
        <f>P854+P859+P865+P870</f>
        <v>0</v>
      </c>
    </row>
    <row r="854" spans="1:16" ht="11.25">
      <c r="A854" s="198">
        <v>40500</v>
      </c>
      <c r="B854" s="124" t="s">
        <v>2595</v>
      </c>
      <c r="C854" s="220">
        <f aca="true" t="shared" si="223" ref="C854:M854">SUM(C855:C858)</f>
        <v>-268894575</v>
      </c>
      <c r="D854" s="220">
        <f t="shared" si="223"/>
        <v>0</v>
      </c>
      <c r="E854" s="220">
        <f t="shared" si="223"/>
        <v>-268667660</v>
      </c>
      <c r="F854" s="220">
        <f t="shared" si="223"/>
        <v>0</v>
      </c>
      <c r="G854" s="220">
        <f t="shared" si="223"/>
        <v>0</v>
      </c>
      <c r="H854" s="220">
        <f t="shared" si="223"/>
        <v>0</v>
      </c>
      <c r="I854" s="220">
        <f t="shared" si="223"/>
        <v>0</v>
      </c>
      <c r="J854" s="220">
        <f t="shared" si="223"/>
        <v>322697193316.81</v>
      </c>
      <c r="K854" s="220">
        <f t="shared" si="223"/>
        <v>53802617513.52</v>
      </c>
      <c r="L854" s="220">
        <f t="shared" si="223"/>
        <v>107605235</v>
      </c>
      <c r="M854" s="220">
        <f t="shared" si="223"/>
        <v>53802618</v>
      </c>
      <c r="N854" s="221">
        <f t="shared" si="219"/>
        <v>322697193316.81</v>
      </c>
      <c r="O854" s="221">
        <f t="shared" si="219"/>
        <v>53802617513.52</v>
      </c>
      <c r="P854" s="238">
        <f>SUM(P855:P858)</f>
        <v>-215091958</v>
      </c>
    </row>
    <row r="855" spans="1:16" ht="11.25">
      <c r="A855" s="200">
        <v>40501</v>
      </c>
      <c r="B855" s="125" t="s">
        <v>1616</v>
      </c>
      <c r="C855" s="184">
        <v>-601425</v>
      </c>
      <c r="D855" s="125">
        <v>0</v>
      </c>
      <c r="E855" s="125">
        <v>-601425</v>
      </c>
      <c r="F855" s="125"/>
      <c r="G855" s="125"/>
      <c r="H855" s="125"/>
      <c r="I855" s="125"/>
      <c r="J855" s="224">
        <v>601894126.28</v>
      </c>
      <c r="K855" s="224">
        <v>468320</v>
      </c>
      <c r="L855" s="223">
        <f>601894-600957</f>
        <v>937</v>
      </c>
      <c r="M855" s="223">
        <v>468</v>
      </c>
      <c r="N855" s="221">
        <f t="shared" si="219"/>
        <v>601894126.28</v>
      </c>
      <c r="O855" s="221">
        <f t="shared" si="219"/>
        <v>468320</v>
      </c>
      <c r="P855" s="238">
        <f>+C855+L855-M855</f>
        <v>-600956</v>
      </c>
    </row>
    <row r="856" spans="1:16" ht="11.25">
      <c r="A856" s="200">
        <v>40502</v>
      </c>
      <c r="B856" s="125" t="s">
        <v>1617</v>
      </c>
      <c r="C856" s="184">
        <v>-535197</v>
      </c>
      <c r="D856" s="125">
        <v>0</v>
      </c>
      <c r="E856" s="125">
        <v>-535197</v>
      </c>
      <c r="F856" s="125"/>
      <c r="G856" s="125"/>
      <c r="H856" s="125"/>
      <c r="I856" s="125"/>
      <c r="J856" s="224">
        <v>536561667.67</v>
      </c>
      <c r="K856" s="224">
        <v>1364934.52</v>
      </c>
      <c r="L856" s="223">
        <f>536562-533832</f>
        <v>2730</v>
      </c>
      <c r="M856" s="223">
        <v>1366</v>
      </c>
      <c r="N856" s="221">
        <f t="shared" si="219"/>
        <v>536561667.67</v>
      </c>
      <c r="O856" s="221">
        <f t="shared" si="219"/>
        <v>1364934.52</v>
      </c>
      <c r="P856" s="238">
        <f>+C856+L856-M856</f>
        <v>-533833</v>
      </c>
    </row>
    <row r="857" spans="1:16" ht="11.25">
      <c r="A857" s="200">
        <v>40503</v>
      </c>
      <c r="B857" s="125" t="s">
        <v>1619</v>
      </c>
      <c r="C857" s="184">
        <v>-54569253</v>
      </c>
      <c r="D857" s="125">
        <v>0</v>
      </c>
      <c r="E857" s="125">
        <v>-54569253</v>
      </c>
      <c r="F857" s="125"/>
      <c r="G857" s="125"/>
      <c r="H857" s="125"/>
      <c r="I857" s="125"/>
      <c r="J857" s="224">
        <v>108347195263.28</v>
      </c>
      <c r="K857" s="224">
        <v>53777942544</v>
      </c>
      <c r="L857" s="223">
        <f>108347195-791310</f>
        <v>107555885</v>
      </c>
      <c r="M857" s="223">
        <v>53777943</v>
      </c>
      <c r="N857" s="221">
        <f t="shared" si="219"/>
        <v>108347195263.28</v>
      </c>
      <c r="O857" s="221">
        <f t="shared" si="219"/>
        <v>53777942544</v>
      </c>
      <c r="P857" s="238">
        <f>+C857+L857-M857</f>
        <v>-791311</v>
      </c>
    </row>
    <row r="858" spans="1:16" ht="11.25">
      <c r="A858" s="200">
        <v>40508</v>
      </c>
      <c r="B858" s="125" t="s">
        <v>1618</v>
      </c>
      <c r="C858" s="184">
        <v>-213188700</v>
      </c>
      <c r="D858" s="125">
        <v>0</v>
      </c>
      <c r="E858" s="125">
        <v>-212961785</v>
      </c>
      <c r="F858" s="125"/>
      <c r="G858" s="125"/>
      <c r="H858" s="124"/>
      <c r="I858" s="124"/>
      <c r="J858" s="224">
        <v>213211542259.58002</v>
      </c>
      <c r="K858" s="224">
        <v>22841715</v>
      </c>
      <c r="L858" s="223">
        <f>213211542-213165859</f>
        <v>45683</v>
      </c>
      <c r="M858" s="223">
        <v>22841</v>
      </c>
      <c r="N858" s="221">
        <f t="shared" si="219"/>
        <v>213211542259.58002</v>
      </c>
      <c r="O858" s="221">
        <f t="shared" si="219"/>
        <v>22841715</v>
      </c>
      <c r="P858" s="238">
        <f>+C858+L858-M858</f>
        <v>-213165858</v>
      </c>
    </row>
    <row r="859" spans="1:16" ht="11.25">
      <c r="A859" s="198">
        <v>41000</v>
      </c>
      <c r="B859" s="124" t="s">
        <v>2596</v>
      </c>
      <c r="C859" s="220">
        <f aca="true" t="shared" si="224" ref="C859:M859">SUM(C860:C864)</f>
        <v>135141890</v>
      </c>
      <c r="D859" s="220">
        <f t="shared" si="224"/>
        <v>0</v>
      </c>
      <c r="E859" s="220">
        <f t="shared" si="224"/>
        <v>-33401515417.479996</v>
      </c>
      <c r="F859" s="220">
        <f t="shared" si="224"/>
        <v>0</v>
      </c>
      <c r="G859" s="220">
        <f t="shared" si="224"/>
        <v>0</v>
      </c>
      <c r="H859" s="220">
        <f t="shared" si="224"/>
        <v>0</v>
      </c>
      <c r="I859" s="220">
        <f t="shared" si="224"/>
        <v>0</v>
      </c>
      <c r="J859" s="220">
        <f t="shared" si="224"/>
        <v>128150999115.04001</v>
      </c>
      <c r="K859" s="220">
        <f t="shared" si="224"/>
        <v>263292889508.73</v>
      </c>
      <c r="L859" s="220">
        <f t="shared" si="224"/>
        <v>128150999</v>
      </c>
      <c r="M859" s="220">
        <f t="shared" si="224"/>
        <v>256301998</v>
      </c>
      <c r="N859" s="221">
        <f t="shared" si="219"/>
        <v>128150999115.04001</v>
      </c>
      <c r="O859" s="221">
        <f t="shared" si="219"/>
        <v>263292889508.73</v>
      </c>
      <c r="P859" s="238">
        <f>SUM(P860:P864)</f>
        <v>6990891</v>
      </c>
    </row>
    <row r="860" spans="1:16" ht="11.25">
      <c r="A860" s="200">
        <v>41001</v>
      </c>
      <c r="B860" s="125" t="s">
        <v>1616</v>
      </c>
      <c r="C860" s="184">
        <v>159161</v>
      </c>
      <c r="D860" s="125">
        <v>0</v>
      </c>
      <c r="E860" s="125">
        <v>-120553333</v>
      </c>
      <c r="F860" s="125"/>
      <c r="G860" s="125"/>
      <c r="H860" s="125"/>
      <c r="I860" s="125"/>
      <c r="J860" s="224">
        <v>140488164.38</v>
      </c>
      <c r="K860" s="224">
        <v>299649985.31</v>
      </c>
      <c r="L860" s="223">
        <v>140488</v>
      </c>
      <c r="M860" s="223">
        <f>299650-18673</f>
        <v>280977</v>
      </c>
      <c r="N860" s="221">
        <f t="shared" si="219"/>
        <v>140488164.38</v>
      </c>
      <c r="O860" s="221">
        <f t="shared" si="219"/>
        <v>299649985.31</v>
      </c>
      <c r="P860" s="238">
        <f>+C860+L860-M860</f>
        <v>18672</v>
      </c>
    </row>
    <row r="861" spans="1:16" ht="11.25">
      <c r="A861" s="200">
        <v>41002</v>
      </c>
      <c r="B861" s="125" t="s">
        <v>1617</v>
      </c>
      <c r="C861" s="184">
        <v>83506</v>
      </c>
      <c r="D861" s="125">
        <v>0</v>
      </c>
      <c r="E861" s="125">
        <v>-11623932</v>
      </c>
      <c r="F861" s="124"/>
      <c r="G861" s="124"/>
      <c r="H861" s="125"/>
      <c r="I861" s="125"/>
      <c r="J861" s="224">
        <v>41464677.52</v>
      </c>
      <c r="K861" s="224">
        <v>124969935.41</v>
      </c>
      <c r="L861" s="223">
        <v>41465</v>
      </c>
      <c r="M861" s="223">
        <f>124970-42041</f>
        <v>82929</v>
      </c>
      <c r="N861" s="221">
        <f t="shared" si="219"/>
        <v>41464677.52</v>
      </c>
      <c r="O861" s="221">
        <f t="shared" si="219"/>
        <v>124969935.41</v>
      </c>
      <c r="P861" s="238">
        <f>+C861+L861-M861</f>
        <v>42042</v>
      </c>
    </row>
    <row r="862" spans="1:16" ht="11.25">
      <c r="A862" s="200">
        <v>41003</v>
      </c>
      <c r="B862" s="125" t="s">
        <v>1619</v>
      </c>
      <c r="C862" s="184">
        <v>53897538</v>
      </c>
      <c r="D862" s="125">
        <v>0</v>
      </c>
      <c r="E862" s="125">
        <v>-62107621</v>
      </c>
      <c r="F862" s="124"/>
      <c r="G862" s="124"/>
      <c r="H862" s="125"/>
      <c r="I862" s="125"/>
      <c r="J862" s="224">
        <v>53887467425</v>
      </c>
      <c r="K862" s="224">
        <v>107785005364</v>
      </c>
      <c r="L862" s="223">
        <v>53887467</v>
      </c>
      <c r="M862" s="223">
        <f>107785005-10071</f>
        <v>107774934</v>
      </c>
      <c r="N862" s="221">
        <f t="shared" si="219"/>
        <v>53887467425</v>
      </c>
      <c r="O862" s="221">
        <f t="shared" si="219"/>
        <v>107785005364</v>
      </c>
      <c r="P862" s="238">
        <f>+C862+L862-M862</f>
        <v>10071</v>
      </c>
    </row>
    <row r="863" spans="1:16" ht="11.25">
      <c r="A863" s="200">
        <v>41004</v>
      </c>
      <c r="B863" s="125" t="s">
        <v>2597</v>
      </c>
      <c r="C863" s="184">
        <v>0</v>
      </c>
      <c r="D863" s="125">
        <v>0</v>
      </c>
      <c r="E863" s="125">
        <v>0</v>
      </c>
      <c r="F863" s="125"/>
      <c r="G863" s="125"/>
      <c r="H863" s="124"/>
      <c r="I863" s="124"/>
      <c r="J863" s="224"/>
      <c r="K863" s="224"/>
      <c r="L863" s="223">
        <v>0</v>
      </c>
      <c r="M863" s="223">
        <v>0</v>
      </c>
      <c r="N863" s="221">
        <f t="shared" si="219"/>
        <v>0</v>
      </c>
      <c r="O863" s="221">
        <f t="shared" si="219"/>
        <v>0</v>
      </c>
      <c r="P863" s="238">
        <f>+C863+L863-M863</f>
        <v>0</v>
      </c>
    </row>
    <row r="864" spans="1:16" ht="11.25">
      <c r="A864" s="200">
        <v>41008</v>
      </c>
      <c r="B864" s="125" t="s">
        <v>1618</v>
      </c>
      <c r="C864" s="184">
        <v>81001685</v>
      </c>
      <c r="D864" s="125">
        <v>0</v>
      </c>
      <c r="E864" s="125">
        <v>-33207230531.479996</v>
      </c>
      <c r="F864" s="125"/>
      <c r="G864" s="125"/>
      <c r="H864" s="125"/>
      <c r="I864" s="125"/>
      <c r="J864" s="224">
        <v>74081578848.14</v>
      </c>
      <c r="K864" s="224">
        <v>155083264224.01</v>
      </c>
      <c r="L864" s="223">
        <v>74081579</v>
      </c>
      <c r="M864" s="223">
        <f>155083264-6920106</f>
        <v>148163158</v>
      </c>
      <c r="N864" s="221">
        <f t="shared" si="219"/>
        <v>74081578848.14</v>
      </c>
      <c r="O864" s="221">
        <f t="shared" si="219"/>
        <v>155083264224.01</v>
      </c>
      <c r="P864" s="238">
        <f>+C864+L864-M864</f>
        <v>6920106</v>
      </c>
    </row>
    <row r="865" spans="1:16" ht="11.25">
      <c r="A865" s="198">
        <v>41500</v>
      </c>
      <c r="B865" s="124" t="s">
        <v>2598</v>
      </c>
      <c r="C865" s="220">
        <f aca="true" t="shared" si="225" ref="C865:M865">SUM(C866:C869)</f>
        <v>1261703</v>
      </c>
      <c r="D865" s="220">
        <f t="shared" si="225"/>
        <v>0</v>
      </c>
      <c r="E865" s="220">
        <f t="shared" si="225"/>
        <v>-8819460949.84</v>
      </c>
      <c r="F865" s="220">
        <f t="shared" si="225"/>
        <v>0</v>
      </c>
      <c r="G865" s="220">
        <f t="shared" si="225"/>
        <v>0</v>
      </c>
      <c r="H865" s="220">
        <f t="shared" si="225"/>
        <v>0</v>
      </c>
      <c r="I865" s="220">
        <f t="shared" si="225"/>
        <v>0</v>
      </c>
      <c r="J865" s="220">
        <f t="shared" si="225"/>
        <v>1133723862.55</v>
      </c>
      <c r="K865" s="220">
        <f t="shared" si="225"/>
        <v>2395427448.08</v>
      </c>
      <c r="L865" s="220">
        <f t="shared" si="225"/>
        <v>1133723</v>
      </c>
      <c r="M865" s="220">
        <f t="shared" si="225"/>
        <v>2267446</v>
      </c>
      <c r="N865" s="221">
        <f t="shared" si="219"/>
        <v>1133723862.55</v>
      </c>
      <c r="O865" s="221">
        <f t="shared" si="219"/>
        <v>2395427448.08</v>
      </c>
      <c r="P865" s="238">
        <f>SUM(P866:P869)</f>
        <v>127980</v>
      </c>
    </row>
    <row r="866" spans="1:16" ht="11.25">
      <c r="A866" s="200">
        <v>41501</v>
      </c>
      <c r="B866" s="125" t="s">
        <v>2599</v>
      </c>
      <c r="C866" s="184">
        <v>2800</v>
      </c>
      <c r="D866" s="125">
        <v>0</v>
      </c>
      <c r="E866" s="125">
        <v>-11243942</v>
      </c>
      <c r="F866" s="125"/>
      <c r="G866" s="125"/>
      <c r="H866" s="124"/>
      <c r="I866" s="124"/>
      <c r="J866" s="224">
        <v>2800000</v>
      </c>
      <c r="K866" s="224">
        <v>5600000</v>
      </c>
      <c r="L866" s="223">
        <v>2800</v>
      </c>
      <c r="M866" s="223">
        <v>5600</v>
      </c>
      <c r="N866" s="221">
        <f t="shared" si="219"/>
        <v>2800000</v>
      </c>
      <c r="O866" s="221">
        <f t="shared" si="219"/>
        <v>5600000</v>
      </c>
      <c r="P866" s="238">
        <f>+C866+L866-M866</f>
        <v>0</v>
      </c>
    </row>
    <row r="867" spans="1:16" ht="11.25">
      <c r="A867" s="200">
        <v>41502</v>
      </c>
      <c r="B867" s="125" t="s">
        <v>1617</v>
      </c>
      <c r="C867" s="184">
        <v>8968</v>
      </c>
      <c r="D867" s="125">
        <v>0</v>
      </c>
      <c r="E867" s="125">
        <v>4708564</v>
      </c>
      <c r="F867" s="125"/>
      <c r="G867" s="125"/>
      <c r="H867" s="125"/>
      <c r="I867" s="125"/>
      <c r="J867" s="224">
        <v>8968460</v>
      </c>
      <c r="K867" s="224">
        <v>17936920</v>
      </c>
      <c r="L867" s="223">
        <v>8968</v>
      </c>
      <c r="M867" s="223">
        <v>17936</v>
      </c>
      <c r="N867" s="221">
        <f t="shared" si="219"/>
        <v>8968460</v>
      </c>
      <c r="O867" s="221">
        <f t="shared" si="219"/>
        <v>17936920</v>
      </c>
      <c r="P867" s="238">
        <f>+C867+L867-M867</f>
        <v>0</v>
      </c>
    </row>
    <row r="868" spans="1:16" ht="11.25">
      <c r="A868" s="200">
        <v>41503</v>
      </c>
      <c r="B868" s="125" t="s">
        <v>1619</v>
      </c>
      <c r="C868" s="184">
        <v>4093</v>
      </c>
      <c r="D868" s="125">
        <v>0</v>
      </c>
      <c r="E868" s="125">
        <v>4093380</v>
      </c>
      <c r="F868" s="125"/>
      <c r="G868" s="125"/>
      <c r="H868" s="125"/>
      <c r="I868" s="125"/>
      <c r="J868" s="224">
        <v>4093380</v>
      </c>
      <c r="K868" s="224">
        <v>8186760</v>
      </c>
      <c r="L868" s="223">
        <v>4093</v>
      </c>
      <c r="M868" s="223">
        <v>8186</v>
      </c>
      <c r="N868" s="221">
        <f t="shared" si="219"/>
        <v>4093380</v>
      </c>
      <c r="O868" s="221">
        <f t="shared" si="219"/>
        <v>8186760</v>
      </c>
      <c r="P868" s="238">
        <f>+C868+L868-M868</f>
        <v>0</v>
      </c>
    </row>
    <row r="869" spans="1:16" ht="11.25">
      <c r="A869" s="200">
        <v>41508</v>
      </c>
      <c r="B869" s="125" t="s">
        <v>1618</v>
      </c>
      <c r="C869" s="184">
        <v>1245842</v>
      </c>
      <c r="D869" s="125">
        <v>0</v>
      </c>
      <c r="E869" s="125">
        <v>-8817018951.84</v>
      </c>
      <c r="F869" s="124"/>
      <c r="G869" s="124"/>
      <c r="H869" s="125"/>
      <c r="I869" s="125"/>
      <c r="J869" s="224">
        <v>1117862022.55</v>
      </c>
      <c r="K869" s="224">
        <v>2363703768.08</v>
      </c>
      <c r="L869" s="223">
        <v>1117862</v>
      </c>
      <c r="M869" s="223">
        <f>2363704-127980</f>
        <v>2235724</v>
      </c>
      <c r="N869" s="221">
        <f t="shared" si="219"/>
        <v>1117862022.55</v>
      </c>
      <c r="O869" s="221">
        <f t="shared" si="219"/>
        <v>2363703768.08</v>
      </c>
      <c r="P869" s="238">
        <f>+C869+L869-M869</f>
        <v>127980</v>
      </c>
    </row>
    <row r="870" spans="1:16" ht="11.25">
      <c r="A870" s="198">
        <v>42000</v>
      </c>
      <c r="B870" s="124" t="s">
        <v>2600</v>
      </c>
      <c r="C870" s="220">
        <f aca="true" t="shared" si="226" ref="C870:M870">SUM(C871:C875)</f>
        <v>132490982</v>
      </c>
      <c r="D870" s="220">
        <f t="shared" si="226"/>
        <v>0</v>
      </c>
      <c r="E870" s="220">
        <f t="shared" si="226"/>
        <v>35264347419.75</v>
      </c>
      <c r="F870" s="220">
        <f t="shared" si="226"/>
        <v>0</v>
      </c>
      <c r="G870" s="220">
        <f t="shared" si="226"/>
        <v>0</v>
      </c>
      <c r="H870" s="220">
        <f t="shared" si="226"/>
        <v>0</v>
      </c>
      <c r="I870" s="220">
        <f t="shared" si="226"/>
        <v>0</v>
      </c>
      <c r="J870" s="220">
        <f t="shared" si="226"/>
        <v>75482105464.07</v>
      </c>
      <c r="K870" s="220">
        <f t="shared" si="226"/>
        <v>207973087288.13998</v>
      </c>
      <c r="L870" s="220">
        <f t="shared" si="226"/>
        <v>75482105</v>
      </c>
      <c r="M870" s="220">
        <f t="shared" si="226"/>
        <v>0</v>
      </c>
      <c r="N870" s="221">
        <f t="shared" si="219"/>
        <v>75482105464.07</v>
      </c>
      <c r="O870" s="221">
        <f t="shared" si="219"/>
        <v>207973087288.13998</v>
      </c>
      <c r="P870" s="238">
        <f>SUM(P871:P875)</f>
        <v>207973087</v>
      </c>
    </row>
    <row r="871" spans="1:16" ht="11.25">
      <c r="A871" s="200">
        <v>42001</v>
      </c>
      <c r="B871" s="125" t="str">
        <f>+B866</f>
        <v>Servicios Personales</v>
      </c>
      <c r="C871" s="184">
        <v>439464</v>
      </c>
      <c r="D871" s="125">
        <v>0</v>
      </c>
      <c r="E871" s="125">
        <v>132398701</v>
      </c>
      <c r="F871" s="124"/>
      <c r="G871" s="124"/>
      <c r="H871" s="125"/>
      <c r="I871" s="125"/>
      <c r="J871" s="224">
        <v>142819844.38</v>
      </c>
      <c r="K871" s="224">
        <v>582283829.73</v>
      </c>
      <c r="L871" s="223">
        <v>142820</v>
      </c>
      <c r="M871" s="223"/>
      <c r="N871" s="221">
        <f t="shared" si="219"/>
        <v>142819844.38</v>
      </c>
      <c r="O871" s="221">
        <f t="shared" si="219"/>
        <v>582283829.73</v>
      </c>
      <c r="P871" s="238">
        <f>+C871+L871-M871</f>
        <v>582284</v>
      </c>
    </row>
    <row r="872" spans="1:16" ht="11.25">
      <c r="A872" s="200">
        <v>42002</v>
      </c>
      <c r="B872" s="125" t="s">
        <v>1617</v>
      </c>
      <c r="C872" s="184">
        <v>442723</v>
      </c>
      <c r="D872" s="125">
        <v>0</v>
      </c>
      <c r="E872" s="125">
        <v>7450565</v>
      </c>
      <c r="F872" s="125"/>
      <c r="G872" s="125"/>
      <c r="H872" s="125"/>
      <c r="I872" s="125"/>
      <c r="J872" s="224">
        <v>49068203</v>
      </c>
      <c r="K872" s="224">
        <v>491791218.26</v>
      </c>
      <c r="L872" s="223">
        <v>49068</v>
      </c>
      <c r="M872" s="223"/>
      <c r="N872" s="221">
        <f t="shared" si="219"/>
        <v>49068203</v>
      </c>
      <c r="O872" s="221">
        <f t="shared" si="219"/>
        <v>491791218.26</v>
      </c>
      <c r="P872" s="238">
        <f>+C872+L872-M872</f>
        <v>491791</v>
      </c>
    </row>
    <row r="873" spans="1:16" ht="11.25">
      <c r="A873" s="200">
        <v>42003</v>
      </c>
      <c r="B873" s="125" t="s">
        <v>1808</v>
      </c>
      <c r="C873" s="184">
        <v>667622</v>
      </c>
      <c r="D873" s="125">
        <v>0</v>
      </c>
      <c r="E873" s="125">
        <v>112583494</v>
      </c>
      <c r="F873" s="125"/>
      <c r="G873" s="125"/>
      <c r="H873" s="124"/>
      <c r="I873" s="124"/>
      <c r="J873" s="224">
        <v>113618261</v>
      </c>
      <c r="K873" s="224">
        <v>781239661.28</v>
      </c>
      <c r="L873" s="223">
        <v>113618</v>
      </c>
      <c r="M873" s="223"/>
      <c r="N873" s="221">
        <f t="shared" si="219"/>
        <v>113618261</v>
      </c>
      <c r="O873" s="221">
        <f t="shared" si="219"/>
        <v>781239661.28</v>
      </c>
      <c r="P873" s="238">
        <f>+C873+L873-M873</f>
        <v>781240</v>
      </c>
    </row>
    <row r="874" spans="1:16" ht="11.25">
      <c r="A874" s="200">
        <v>42004</v>
      </c>
      <c r="B874" s="125" t="s">
        <v>2597</v>
      </c>
      <c r="C874" s="184">
        <v>0</v>
      </c>
      <c r="D874" s="125">
        <v>0</v>
      </c>
      <c r="E874" s="125">
        <v>0</v>
      </c>
      <c r="F874" s="125"/>
      <c r="G874" s="125"/>
      <c r="H874" s="125"/>
      <c r="I874" s="125"/>
      <c r="J874" s="224"/>
      <c r="K874" s="224"/>
      <c r="L874" s="223">
        <v>0</v>
      </c>
      <c r="M874" s="223">
        <v>0</v>
      </c>
      <c r="N874" s="221">
        <f t="shared" si="219"/>
        <v>0</v>
      </c>
      <c r="O874" s="221">
        <f t="shared" si="219"/>
        <v>0</v>
      </c>
      <c r="P874" s="238">
        <f>+C874+L874-M874</f>
        <v>0</v>
      </c>
    </row>
    <row r="875" spans="1:16" ht="11.25">
      <c r="A875" s="200">
        <v>42008</v>
      </c>
      <c r="B875" s="125" t="s">
        <v>1618</v>
      </c>
      <c r="C875" s="184">
        <v>130941173</v>
      </c>
      <c r="D875" s="125">
        <v>0</v>
      </c>
      <c r="E875" s="125">
        <v>35011914659.75</v>
      </c>
      <c r="F875" s="125"/>
      <c r="G875" s="125"/>
      <c r="H875" s="124"/>
      <c r="I875" s="124"/>
      <c r="J875" s="224">
        <v>75176599155.69</v>
      </c>
      <c r="K875" s="224">
        <v>206117772578.87</v>
      </c>
      <c r="L875" s="223">
        <v>75176599</v>
      </c>
      <c r="M875" s="223"/>
      <c r="N875" s="221">
        <f t="shared" si="219"/>
        <v>75176599155.69</v>
      </c>
      <c r="O875" s="221">
        <f t="shared" si="219"/>
        <v>206117772578.87</v>
      </c>
      <c r="P875" s="238">
        <f>+C875+L875-M875</f>
        <v>206117772</v>
      </c>
    </row>
    <row r="876" spans="1:16" ht="11.25">
      <c r="A876" s="198">
        <v>50000</v>
      </c>
      <c r="B876" s="124" t="s">
        <v>912</v>
      </c>
      <c r="C876" s="220">
        <f aca="true" t="shared" si="227" ref="C876:M876">C877+C882+C887</f>
        <v>0</v>
      </c>
      <c r="D876" s="220">
        <f t="shared" si="227"/>
        <v>0</v>
      </c>
      <c r="E876" s="220">
        <f t="shared" si="227"/>
        <v>2334</v>
      </c>
      <c r="F876" s="220">
        <f t="shared" si="227"/>
        <v>0</v>
      </c>
      <c r="G876" s="220">
        <f t="shared" si="227"/>
        <v>0</v>
      </c>
      <c r="H876" s="220">
        <f t="shared" si="227"/>
        <v>0</v>
      </c>
      <c r="I876" s="220">
        <f t="shared" si="227"/>
        <v>0</v>
      </c>
      <c r="J876" s="220">
        <f t="shared" si="227"/>
        <v>3324286554.55</v>
      </c>
      <c r="K876" s="220">
        <f t="shared" si="227"/>
        <v>3324286554.55</v>
      </c>
      <c r="L876" s="220">
        <f t="shared" si="227"/>
        <v>0</v>
      </c>
      <c r="M876" s="220">
        <f t="shared" si="227"/>
        <v>0</v>
      </c>
      <c r="N876" s="221">
        <f t="shared" si="219"/>
        <v>3324286554.55</v>
      </c>
      <c r="O876" s="221">
        <f t="shared" si="219"/>
        <v>3324286554.55</v>
      </c>
      <c r="P876" s="238">
        <f>P877+P882+P887</f>
        <v>0</v>
      </c>
    </row>
    <row r="877" spans="1:16" ht="11.25">
      <c r="A877" s="198">
        <v>50500</v>
      </c>
      <c r="B877" s="124" t="s">
        <v>2601</v>
      </c>
      <c r="C877" s="220">
        <f aca="true" t="shared" si="228" ref="C877:M877">SUM(C878:C881)</f>
        <v>-3324286</v>
      </c>
      <c r="D877" s="220">
        <f t="shared" si="228"/>
        <v>0</v>
      </c>
      <c r="E877" s="220">
        <f t="shared" si="228"/>
        <v>-3321952</v>
      </c>
      <c r="F877" s="220">
        <f t="shared" si="228"/>
        <v>0</v>
      </c>
      <c r="G877" s="220">
        <f t="shared" si="228"/>
        <v>0</v>
      </c>
      <c r="H877" s="220">
        <f t="shared" si="228"/>
        <v>0</v>
      </c>
      <c r="I877" s="220">
        <f t="shared" si="228"/>
        <v>0</v>
      </c>
      <c r="J877" s="220">
        <f t="shared" si="228"/>
        <v>3324286554.55</v>
      </c>
      <c r="K877" s="220">
        <f t="shared" si="228"/>
        <v>0</v>
      </c>
      <c r="L877" s="220">
        <f t="shared" si="228"/>
        <v>0</v>
      </c>
      <c r="M877" s="220">
        <f t="shared" si="228"/>
        <v>0</v>
      </c>
      <c r="N877" s="221">
        <f t="shared" si="219"/>
        <v>3324286554.55</v>
      </c>
      <c r="O877" s="221">
        <f t="shared" si="219"/>
        <v>0</v>
      </c>
      <c r="P877" s="238">
        <f>SUM(P878:P881)</f>
        <v>-3324286</v>
      </c>
    </row>
    <row r="878" spans="1:16" ht="11.25">
      <c r="A878" s="200">
        <v>50501</v>
      </c>
      <c r="B878" s="125" t="s">
        <v>1616</v>
      </c>
      <c r="C878" s="184">
        <v>-17715</v>
      </c>
      <c r="D878" s="125"/>
      <c r="E878" s="125">
        <v>-17207</v>
      </c>
      <c r="F878" s="125"/>
      <c r="G878" s="125"/>
      <c r="H878" s="125"/>
      <c r="I878" s="125"/>
      <c r="J878" s="224">
        <v>17715000</v>
      </c>
      <c r="K878" s="224">
        <v>0</v>
      </c>
      <c r="L878" s="223"/>
      <c r="M878" s="223">
        <v>0</v>
      </c>
      <c r="N878" s="221">
        <f t="shared" si="219"/>
        <v>17715000</v>
      </c>
      <c r="O878" s="221">
        <f t="shared" si="219"/>
        <v>0</v>
      </c>
      <c r="P878" s="238">
        <f>+C878+L878-M878</f>
        <v>-17715</v>
      </c>
    </row>
    <row r="879" spans="1:16" ht="11.25">
      <c r="A879" s="200">
        <v>50502</v>
      </c>
      <c r="B879" s="125" t="s">
        <v>1617</v>
      </c>
      <c r="C879" s="184">
        <v>-88113</v>
      </c>
      <c r="D879" s="125"/>
      <c r="E879" s="125">
        <v>-86287</v>
      </c>
      <c r="F879" s="125"/>
      <c r="G879" s="125"/>
      <c r="H879" s="125"/>
      <c r="I879" s="125"/>
      <c r="J879" s="224">
        <v>88112707</v>
      </c>
      <c r="K879" s="224">
        <v>0</v>
      </c>
      <c r="L879" s="223"/>
      <c r="M879" s="223">
        <v>0</v>
      </c>
      <c r="N879" s="221">
        <f t="shared" si="219"/>
        <v>88112707</v>
      </c>
      <c r="O879" s="221">
        <f t="shared" si="219"/>
        <v>0</v>
      </c>
      <c r="P879" s="238">
        <f>+C879+L879-M879</f>
        <v>-88113</v>
      </c>
    </row>
    <row r="880" spans="1:16" ht="11.25">
      <c r="A880" s="200">
        <v>50503</v>
      </c>
      <c r="B880" s="125" t="s">
        <v>1619</v>
      </c>
      <c r="C880" s="184">
        <v>-264045</v>
      </c>
      <c r="D880" s="125"/>
      <c r="E880" s="125">
        <v>-264045</v>
      </c>
      <c r="F880" s="125"/>
      <c r="G880" s="125"/>
      <c r="H880" s="125"/>
      <c r="I880" s="125"/>
      <c r="J880" s="224">
        <v>264045481</v>
      </c>
      <c r="K880" s="224">
        <v>0</v>
      </c>
      <c r="L880" s="223"/>
      <c r="M880" s="223">
        <v>0</v>
      </c>
      <c r="N880" s="221">
        <f t="shared" si="219"/>
        <v>264045481</v>
      </c>
      <c r="O880" s="221">
        <f t="shared" si="219"/>
        <v>0</v>
      </c>
      <c r="P880" s="238">
        <f>+C880+L880-M880</f>
        <v>-264045</v>
      </c>
    </row>
    <row r="881" spans="1:16" ht="11.25">
      <c r="A881" s="200">
        <v>50508</v>
      </c>
      <c r="B881" s="125" t="s">
        <v>1618</v>
      </c>
      <c r="C881" s="184">
        <v>-2954413</v>
      </c>
      <c r="D881" s="125"/>
      <c r="E881" s="125">
        <v>-2954413</v>
      </c>
      <c r="F881" s="125"/>
      <c r="G881" s="125"/>
      <c r="H881" s="125"/>
      <c r="I881" s="125"/>
      <c r="J881" s="224">
        <v>2954413366.55</v>
      </c>
      <c r="K881" s="224">
        <v>0</v>
      </c>
      <c r="L881" s="223"/>
      <c r="M881" s="223">
        <v>0</v>
      </c>
      <c r="N881" s="221">
        <f aca="true" t="shared" si="229" ref="N881:O900">+F881+H881+J881</f>
        <v>2954413366.55</v>
      </c>
      <c r="O881" s="221">
        <f t="shared" si="229"/>
        <v>0</v>
      </c>
      <c r="P881" s="238">
        <f>+C881+L881-M881</f>
        <v>-2954413</v>
      </c>
    </row>
    <row r="882" spans="1:16" ht="11.25">
      <c r="A882" s="198">
        <v>51000</v>
      </c>
      <c r="B882" s="124" t="s">
        <v>2602</v>
      </c>
      <c r="C882" s="220">
        <f aca="true" t="shared" si="230" ref="C882:M882">SUM(C883:C886)</f>
        <v>0</v>
      </c>
      <c r="D882" s="220">
        <f t="shared" si="230"/>
        <v>0</v>
      </c>
      <c r="E882" s="220">
        <f t="shared" si="230"/>
        <v>-1666966268</v>
      </c>
      <c r="F882" s="220">
        <f t="shared" si="230"/>
        <v>0</v>
      </c>
      <c r="G882" s="220">
        <f t="shared" si="230"/>
        <v>0</v>
      </c>
      <c r="H882" s="220">
        <f t="shared" si="230"/>
        <v>0</v>
      </c>
      <c r="I882" s="220">
        <f t="shared" si="230"/>
        <v>0</v>
      </c>
      <c r="J882" s="220">
        <f t="shared" si="230"/>
        <v>0</v>
      </c>
      <c r="K882" s="220">
        <f t="shared" si="230"/>
        <v>0</v>
      </c>
      <c r="L882" s="220">
        <f t="shared" si="230"/>
        <v>0</v>
      </c>
      <c r="M882" s="220">
        <f t="shared" si="230"/>
        <v>0</v>
      </c>
      <c r="N882" s="221">
        <f t="shared" si="229"/>
        <v>0</v>
      </c>
      <c r="O882" s="221">
        <f t="shared" si="229"/>
        <v>0</v>
      </c>
      <c r="P882" s="238">
        <f>SUM(P883:P886)</f>
        <v>0</v>
      </c>
    </row>
    <row r="883" spans="1:16" ht="11.25">
      <c r="A883" s="200">
        <v>51001</v>
      </c>
      <c r="B883" s="125" t="s">
        <v>1616</v>
      </c>
      <c r="C883" s="184">
        <v>0</v>
      </c>
      <c r="D883" s="125"/>
      <c r="E883" s="125">
        <v>0</v>
      </c>
      <c r="F883" s="124"/>
      <c r="G883" s="124"/>
      <c r="H883" s="125"/>
      <c r="I883" s="125"/>
      <c r="J883" s="224"/>
      <c r="K883" s="224"/>
      <c r="L883" s="223">
        <v>0</v>
      </c>
      <c r="M883" s="223">
        <v>0</v>
      </c>
      <c r="N883" s="221">
        <f t="shared" si="229"/>
        <v>0</v>
      </c>
      <c r="O883" s="221">
        <f t="shared" si="229"/>
        <v>0</v>
      </c>
      <c r="P883" s="238">
        <f>+C883+L883-M883</f>
        <v>0</v>
      </c>
    </row>
    <row r="884" spans="1:16" ht="11.25">
      <c r="A884" s="200">
        <v>51002</v>
      </c>
      <c r="B884" s="125" t="s">
        <v>1617</v>
      </c>
      <c r="C884" s="184">
        <v>0</v>
      </c>
      <c r="D884" s="125"/>
      <c r="E884" s="125">
        <v>0</v>
      </c>
      <c r="F884" s="125"/>
      <c r="G884" s="125"/>
      <c r="H884" s="125"/>
      <c r="I884" s="125"/>
      <c r="J884" s="224"/>
      <c r="K884" s="224"/>
      <c r="L884" s="223">
        <v>0</v>
      </c>
      <c r="M884" s="223">
        <v>0</v>
      </c>
      <c r="N884" s="221">
        <f t="shared" si="229"/>
        <v>0</v>
      </c>
      <c r="O884" s="221">
        <f t="shared" si="229"/>
        <v>0</v>
      </c>
      <c r="P884" s="238">
        <f>+C884+L884-M884</f>
        <v>0</v>
      </c>
    </row>
    <row r="885" spans="1:16" ht="11.25">
      <c r="A885" s="200">
        <v>51003</v>
      </c>
      <c r="B885" s="125" t="s">
        <v>1619</v>
      </c>
      <c r="C885" s="184">
        <v>0</v>
      </c>
      <c r="D885" s="125"/>
      <c r="E885" s="125">
        <v>0</v>
      </c>
      <c r="F885" s="125"/>
      <c r="G885" s="125"/>
      <c r="H885" s="125"/>
      <c r="I885" s="125"/>
      <c r="J885" s="224"/>
      <c r="K885" s="224"/>
      <c r="L885" s="223">
        <v>0</v>
      </c>
      <c r="M885" s="223">
        <v>0</v>
      </c>
      <c r="N885" s="221">
        <f t="shared" si="229"/>
        <v>0</v>
      </c>
      <c r="O885" s="221">
        <f t="shared" si="229"/>
        <v>0</v>
      </c>
      <c r="P885" s="238">
        <f>+C885+L885-M885</f>
        <v>0</v>
      </c>
    </row>
    <row r="886" spans="1:16" ht="11.25">
      <c r="A886" s="200">
        <v>51008</v>
      </c>
      <c r="B886" s="125" t="s">
        <v>2603</v>
      </c>
      <c r="C886" s="184">
        <v>0</v>
      </c>
      <c r="D886" s="125"/>
      <c r="E886" s="125">
        <v>-1666966268</v>
      </c>
      <c r="F886" s="125"/>
      <c r="G886" s="125"/>
      <c r="H886" s="125"/>
      <c r="I886" s="125"/>
      <c r="J886" s="224"/>
      <c r="K886" s="224"/>
      <c r="L886" s="223">
        <v>0</v>
      </c>
      <c r="M886" s="223">
        <v>0</v>
      </c>
      <c r="N886" s="221">
        <f t="shared" si="229"/>
        <v>0</v>
      </c>
      <c r="O886" s="221">
        <f t="shared" si="229"/>
        <v>0</v>
      </c>
      <c r="P886" s="238">
        <f>+C886+L886-M886</f>
        <v>0</v>
      </c>
    </row>
    <row r="887" spans="1:16" ht="11.25">
      <c r="A887" s="198">
        <v>51500</v>
      </c>
      <c r="B887" s="124" t="s">
        <v>2604</v>
      </c>
      <c r="C887" s="220">
        <f aca="true" t="shared" si="231" ref="C887:M887">SUM(C888:C891)</f>
        <v>3324286</v>
      </c>
      <c r="D887" s="220">
        <f t="shared" si="231"/>
        <v>0</v>
      </c>
      <c r="E887" s="220">
        <f t="shared" si="231"/>
        <v>1670290554</v>
      </c>
      <c r="F887" s="220">
        <f t="shared" si="231"/>
        <v>0</v>
      </c>
      <c r="G887" s="220">
        <f t="shared" si="231"/>
        <v>0</v>
      </c>
      <c r="H887" s="220">
        <f t="shared" si="231"/>
        <v>0</v>
      </c>
      <c r="I887" s="220">
        <f t="shared" si="231"/>
        <v>0</v>
      </c>
      <c r="J887" s="220">
        <f t="shared" si="231"/>
        <v>0</v>
      </c>
      <c r="K887" s="220">
        <f t="shared" si="231"/>
        <v>3324286554.55</v>
      </c>
      <c r="L887" s="220">
        <f t="shared" si="231"/>
        <v>0</v>
      </c>
      <c r="M887" s="220">
        <f t="shared" si="231"/>
        <v>0</v>
      </c>
      <c r="N887" s="221">
        <f t="shared" si="229"/>
        <v>0</v>
      </c>
      <c r="O887" s="221">
        <f t="shared" si="229"/>
        <v>3324286554.55</v>
      </c>
      <c r="P887" s="238">
        <f>SUM(P888:P891)</f>
        <v>3324286</v>
      </c>
    </row>
    <row r="888" spans="1:16" ht="11.25">
      <c r="A888" s="200">
        <v>51501</v>
      </c>
      <c r="B888" s="125" t="s">
        <v>1616</v>
      </c>
      <c r="C888" s="184">
        <v>17715</v>
      </c>
      <c r="D888" s="125"/>
      <c r="E888" s="125">
        <v>17715</v>
      </c>
      <c r="F888" s="125"/>
      <c r="G888" s="125"/>
      <c r="H888" s="125"/>
      <c r="I888" s="125"/>
      <c r="J888" s="224">
        <v>0</v>
      </c>
      <c r="K888" s="224">
        <v>17715000</v>
      </c>
      <c r="L888" s="223">
        <v>0</v>
      </c>
      <c r="M888" s="223"/>
      <c r="N888" s="221">
        <f t="shared" si="229"/>
        <v>0</v>
      </c>
      <c r="O888" s="221">
        <f t="shared" si="229"/>
        <v>17715000</v>
      </c>
      <c r="P888" s="238">
        <f>+C888+L888-M888</f>
        <v>17715</v>
      </c>
    </row>
    <row r="889" spans="1:16" ht="11.25">
      <c r="A889" s="200">
        <v>51502</v>
      </c>
      <c r="B889" s="125" t="s">
        <v>1617</v>
      </c>
      <c r="C889" s="184">
        <v>88113</v>
      </c>
      <c r="D889" s="125"/>
      <c r="E889" s="125">
        <v>88113</v>
      </c>
      <c r="F889" s="125"/>
      <c r="G889" s="125"/>
      <c r="H889" s="125"/>
      <c r="I889" s="125"/>
      <c r="J889" s="224">
        <v>0</v>
      </c>
      <c r="K889" s="224">
        <v>88112707</v>
      </c>
      <c r="L889" s="223"/>
      <c r="M889" s="223"/>
      <c r="N889" s="221">
        <f t="shared" si="229"/>
        <v>0</v>
      </c>
      <c r="O889" s="221">
        <f t="shared" si="229"/>
        <v>88112707</v>
      </c>
      <c r="P889" s="238">
        <f>+C889+L889-M889</f>
        <v>88113</v>
      </c>
    </row>
    <row r="890" spans="1:16" ht="11.25">
      <c r="A890" s="200">
        <v>51503</v>
      </c>
      <c r="B890" s="125" t="s">
        <v>1619</v>
      </c>
      <c r="C890" s="184">
        <v>264045</v>
      </c>
      <c r="D890" s="125"/>
      <c r="E890" s="125">
        <v>264045</v>
      </c>
      <c r="F890" s="125"/>
      <c r="G890" s="125"/>
      <c r="H890" s="125"/>
      <c r="I890" s="125"/>
      <c r="J890" s="224">
        <v>0</v>
      </c>
      <c r="K890" s="224">
        <v>264045481</v>
      </c>
      <c r="L890" s="223"/>
      <c r="M890" s="223"/>
      <c r="N890" s="221">
        <f t="shared" si="229"/>
        <v>0</v>
      </c>
      <c r="O890" s="221">
        <f t="shared" si="229"/>
        <v>264045481</v>
      </c>
      <c r="P890" s="238">
        <f>+C890+L890-M890</f>
        <v>264045</v>
      </c>
    </row>
    <row r="891" spans="1:16" ht="11.25">
      <c r="A891" s="200">
        <v>51508</v>
      </c>
      <c r="B891" s="125" t="s">
        <v>1618</v>
      </c>
      <c r="C891" s="184">
        <v>2954413</v>
      </c>
      <c r="D891" s="125"/>
      <c r="E891" s="125">
        <v>1669920681</v>
      </c>
      <c r="F891" s="124"/>
      <c r="G891" s="124"/>
      <c r="H891" s="125"/>
      <c r="I891" s="125"/>
      <c r="J891" s="224">
        <v>0</v>
      </c>
      <c r="K891" s="224">
        <v>2954413366.55</v>
      </c>
      <c r="L891" s="223">
        <v>0</v>
      </c>
      <c r="M891" s="223"/>
      <c r="N891" s="221">
        <f t="shared" si="229"/>
        <v>0</v>
      </c>
      <c r="O891" s="221">
        <f t="shared" si="229"/>
        <v>2954413366.55</v>
      </c>
      <c r="P891" s="238">
        <f>+C891+L891-M891</f>
        <v>2954413</v>
      </c>
    </row>
    <row r="892" spans="1:16" ht="22.5">
      <c r="A892" s="198">
        <v>70000</v>
      </c>
      <c r="B892" s="124" t="s">
        <v>2605</v>
      </c>
      <c r="C892" s="220">
        <f>C893</f>
        <v>-407862467</v>
      </c>
      <c r="D892" s="124">
        <v>0</v>
      </c>
      <c r="E892" s="124">
        <v>-407862467</v>
      </c>
      <c r="F892" s="124"/>
      <c r="G892" s="124"/>
      <c r="H892" s="125"/>
      <c r="I892" s="125"/>
      <c r="J892" s="224"/>
      <c r="K892" s="224"/>
      <c r="L892" s="220">
        <f>L893</f>
        <v>407862467</v>
      </c>
      <c r="M892" s="220">
        <f>M893</f>
        <v>4342483000</v>
      </c>
      <c r="N892" s="221">
        <f t="shared" si="229"/>
        <v>0</v>
      </c>
      <c r="O892" s="221">
        <f t="shared" si="229"/>
        <v>0</v>
      </c>
      <c r="P892" s="238">
        <f>P893</f>
        <v>-4342483000</v>
      </c>
    </row>
    <row r="893" spans="1:16" ht="11.25">
      <c r="A893" s="198">
        <v>70200</v>
      </c>
      <c r="B893" s="124" t="s">
        <v>2606</v>
      </c>
      <c r="C893" s="220">
        <f>C894</f>
        <v>-407862467</v>
      </c>
      <c r="D893" s="124">
        <v>0</v>
      </c>
      <c r="E893" s="124">
        <v>-407862467</v>
      </c>
      <c r="F893" s="124"/>
      <c r="G893" s="124"/>
      <c r="H893" s="125"/>
      <c r="I893" s="125"/>
      <c r="J893" s="224"/>
      <c r="K893" s="224"/>
      <c r="L893" s="220">
        <f>L894</f>
        <v>407862467</v>
      </c>
      <c r="M893" s="220">
        <f>M894</f>
        <v>4342483000</v>
      </c>
      <c r="N893" s="221">
        <f t="shared" si="229"/>
        <v>0</v>
      </c>
      <c r="O893" s="221">
        <f t="shared" si="229"/>
        <v>0</v>
      </c>
      <c r="P893" s="238">
        <f>P894</f>
        <v>-4342483000</v>
      </c>
    </row>
    <row r="894" spans="1:16" ht="11.25">
      <c r="A894" s="200">
        <v>70202</v>
      </c>
      <c r="B894" s="125" t="s">
        <v>2607</v>
      </c>
      <c r="C894" s="184">
        <v>-407862467</v>
      </c>
      <c r="D894" s="125">
        <v>0</v>
      </c>
      <c r="E894" s="125">
        <v>-407862467</v>
      </c>
      <c r="F894" s="125"/>
      <c r="G894" s="125"/>
      <c r="H894" s="125"/>
      <c r="I894" s="125"/>
      <c r="J894" s="224">
        <v>407862467000</v>
      </c>
      <c r="K894" s="224">
        <v>4342483000000</v>
      </c>
      <c r="L894" s="223">
        <v>407862467</v>
      </c>
      <c r="M894" s="223">
        <v>4342483000</v>
      </c>
      <c r="N894" s="221">
        <f t="shared" si="229"/>
        <v>407862467000</v>
      </c>
      <c r="O894" s="221">
        <f t="shared" si="229"/>
        <v>4342483000000</v>
      </c>
      <c r="P894" s="238">
        <f>+C894+L894-M894</f>
        <v>-4342483000</v>
      </c>
    </row>
    <row r="895" spans="1:16" ht="11.25">
      <c r="A895" s="198">
        <v>80000</v>
      </c>
      <c r="B895" s="124" t="s">
        <v>2608</v>
      </c>
      <c r="C895" s="220">
        <f>C896</f>
        <v>257183443</v>
      </c>
      <c r="D895" s="124">
        <v>0</v>
      </c>
      <c r="E895" s="124">
        <v>257183443</v>
      </c>
      <c r="F895" s="125"/>
      <c r="G895" s="125"/>
      <c r="H895" s="124"/>
      <c r="I895" s="124"/>
      <c r="J895" s="224"/>
      <c r="K895" s="224"/>
      <c r="L895" s="220">
        <f>L896</f>
        <v>4342483000</v>
      </c>
      <c r="M895" s="220">
        <f>M896</f>
        <v>257183443</v>
      </c>
      <c r="N895" s="221">
        <f t="shared" si="229"/>
        <v>0</v>
      </c>
      <c r="O895" s="221">
        <f t="shared" si="229"/>
        <v>0</v>
      </c>
      <c r="P895" s="238">
        <f>P896</f>
        <v>4342483000</v>
      </c>
    </row>
    <row r="896" spans="1:16" ht="11.25">
      <c r="A896" s="198">
        <v>80200</v>
      </c>
      <c r="B896" s="124" t="s">
        <v>2606</v>
      </c>
      <c r="C896" s="220">
        <f>C897</f>
        <v>257183443</v>
      </c>
      <c r="D896" s="124">
        <v>0</v>
      </c>
      <c r="E896" s="124">
        <v>257183443</v>
      </c>
      <c r="F896" s="125"/>
      <c r="G896" s="125"/>
      <c r="H896" s="124"/>
      <c r="I896" s="124"/>
      <c r="J896" s="224"/>
      <c r="K896" s="224"/>
      <c r="L896" s="220">
        <f>L897</f>
        <v>4342483000</v>
      </c>
      <c r="M896" s="220">
        <f>M897</f>
        <v>257183443</v>
      </c>
      <c r="N896" s="221">
        <f t="shared" si="229"/>
        <v>0</v>
      </c>
      <c r="O896" s="221">
        <f t="shared" si="229"/>
        <v>0</v>
      </c>
      <c r="P896" s="238">
        <f>P897</f>
        <v>4342483000</v>
      </c>
    </row>
    <row r="897" spans="1:16" ht="11.25">
      <c r="A897" s="200">
        <v>80202</v>
      </c>
      <c r="B897" s="125" t="s">
        <v>2607</v>
      </c>
      <c r="C897" s="184">
        <v>257183443</v>
      </c>
      <c r="D897" s="125">
        <v>0</v>
      </c>
      <c r="E897" s="125">
        <v>257183443</v>
      </c>
      <c r="F897" s="125"/>
      <c r="G897" s="125"/>
      <c r="H897" s="124"/>
      <c r="I897" s="124"/>
      <c r="J897" s="224">
        <v>4342483000000</v>
      </c>
      <c r="K897" s="224">
        <v>257183443334.19</v>
      </c>
      <c r="L897" s="223">
        <v>4342483000</v>
      </c>
      <c r="M897" s="223">
        <v>257183443</v>
      </c>
      <c r="N897" s="221">
        <f t="shared" si="229"/>
        <v>4342483000000</v>
      </c>
      <c r="O897" s="221">
        <f t="shared" si="229"/>
        <v>257183443334.19</v>
      </c>
      <c r="P897" s="238">
        <f>+C897+L897-M897</f>
        <v>4342483000</v>
      </c>
    </row>
    <row r="898" spans="1:16" ht="22.5">
      <c r="A898" s="198">
        <v>90000</v>
      </c>
      <c r="B898" s="124" t="s">
        <v>2605</v>
      </c>
      <c r="C898" s="220">
        <f>C899</f>
        <v>150679024</v>
      </c>
      <c r="D898" s="124">
        <v>0</v>
      </c>
      <c r="E898" s="124">
        <v>150679024</v>
      </c>
      <c r="F898" s="125"/>
      <c r="G898" s="125"/>
      <c r="H898" s="125"/>
      <c r="I898" s="125"/>
      <c r="J898" s="224"/>
      <c r="K898" s="224"/>
      <c r="L898" s="220">
        <f>L899</f>
        <v>0</v>
      </c>
      <c r="M898" s="220">
        <f>M899</f>
        <v>150679024</v>
      </c>
      <c r="N898" s="221">
        <f t="shared" si="229"/>
        <v>0</v>
      </c>
      <c r="O898" s="221">
        <f t="shared" si="229"/>
        <v>0</v>
      </c>
      <c r="P898" s="238">
        <f>P899</f>
        <v>0</v>
      </c>
    </row>
    <row r="899" spans="1:16" ht="11.25">
      <c r="A899" s="198">
        <v>90200</v>
      </c>
      <c r="B899" s="124" t="s">
        <v>2606</v>
      </c>
      <c r="C899" s="220">
        <f>C900</f>
        <v>150679024</v>
      </c>
      <c r="D899" s="124">
        <v>0</v>
      </c>
      <c r="E899" s="124">
        <v>150679024</v>
      </c>
      <c r="F899" s="125"/>
      <c r="G899" s="125"/>
      <c r="H899" s="125"/>
      <c r="I899" s="125"/>
      <c r="J899" s="224"/>
      <c r="K899" s="224"/>
      <c r="L899" s="220">
        <f>L900</f>
        <v>0</v>
      </c>
      <c r="M899" s="220">
        <f>M900</f>
        <v>150679024</v>
      </c>
      <c r="N899" s="221">
        <f t="shared" si="229"/>
        <v>0</v>
      </c>
      <c r="O899" s="221">
        <f t="shared" si="229"/>
        <v>0</v>
      </c>
      <c r="P899" s="238">
        <f>P900</f>
        <v>0</v>
      </c>
    </row>
    <row r="900" spans="1:16" ht="12" thickBot="1">
      <c r="A900" s="202">
        <v>90202</v>
      </c>
      <c r="B900" s="203" t="s">
        <v>2607</v>
      </c>
      <c r="C900" s="241">
        <v>150679024</v>
      </c>
      <c r="D900" s="203">
        <v>0</v>
      </c>
      <c r="E900" s="203">
        <v>150679024</v>
      </c>
      <c r="F900" s="203"/>
      <c r="G900" s="203"/>
      <c r="H900" s="203"/>
      <c r="I900" s="203"/>
      <c r="J900" s="242">
        <v>0</v>
      </c>
      <c r="K900" s="242">
        <v>150679023665.81</v>
      </c>
      <c r="L900" s="243">
        <v>0</v>
      </c>
      <c r="M900" s="243">
        <v>150679024</v>
      </c>
      <c r="N900" s="244">
        <f t="shared" si="229"/>
        <v>0</v>
      </c>
      <c r="O900" s="244">
        <f t="shared" si="229"/>
        <v>150679023665.81</v>
      </c>
      <c r="P900" s="245">
        <f>+C900+L900-M900</f>
        <v>0</v>
      </c>
    </row>
    <row r="901" spans="14:15" ht="11.25">
      <c r="N901" s="139"/>
      <c r="O901" s="139"/>
    </row>
    <row r="902" ht="11.25">
      <c r="G902" s="204"/>
    </row>
    <row r="903" spans="1:15" ht="12">
      <c r="A903" s="288" t="s">
        <v>2609</v>
      </c>
      <c r="B903" s="288"/>
      <c r="C903" s="288"/>
      <c r="D903" s="288"/>
      <c r="E903" s="283" t="s">
        <v>2610</v>
      </c>
      <c r="F903" s="283"/>
      <c r="G903" s="283"/>
      <c r="H903" s="283"/>
      <c r="L903" s="283" t="s">
        <v>2610</v>
      </c>
      <c r="M903" s="283"/>
      <c r="N903" s="283"/>
      <c r="O903" s="283"/>
    </row>
    <row r="904" spans="1:15" ht="12">
      <c r="A904" s="284" t="s">
        <v>2611</v>
      </c>
      <c r="B904" s="284"/>
      <c r="C904" s="284"/>
      <c r="D904" s="284"/>
      <c r="E904" s="285" t="s">
        <v>2612</v>
      </c>
      <c r="F904" s="285"/>
      <c r="G904" s="285"/>
      <c r="H904" s="285"/>
      <c r="L904" s="285" t="s">
        <v>2612</v>
      </c>
      <c r="M904" s="285"/>
      <c r="N904" s="285"/>
      <c r="O904" s="285"/>
    </row>
    <row r="905" spans="1:15" ht="12">
      <c r="A905" s="42"/>
      <c r="B905" s="43"/>
      <c r="C905" s="44"/>
      <c r="D905" s="45"/>
      <c r="E905" s="42"/>
      <c r="F905" s="42"/>
      <c r="G905" s="42"/>
      <c r="H905" s="42"/>
      <c r="J905" s="177"/>
      <c r="K905" s="177"/>
      <c r="L905" s="42"/>
      <c r="M905" s="42"/>
      <c r="N905" s="42"/>
      <c r="O905" s="42"/>
    </row>
    <row r="906" spans="1:8" ht="12">
      <c r="A906" s="42"/>
      <c r="B906" s="43"/>
      <c r="C906" s="44"/>
      <c r="D906" s="44"/>
      <c r="E906" s="42"/>
      <c r="F906" s="42"/>
      <c r="G906" s="44"/>
      <c r="H906" s="44"/>
    </row>
    <row r="907" spans="1:8" ht="12">
      <c r="A907" s="42"/>
      <c r="B907" s="43"/>
      <c r="C907" s="44"/>
      <c r="D907" s="44"/>
      <c r="E907" s="42"/>
      <c r="F907" s="42"/>
      <c r="G907" s="44"/>
      <c r="H907" s="44"/>
    </row>
    <row r="908" spans="1:8" ht="12">
      <c r="A908" s="286" t="s">
        <v>2613</v>
      </c>
      <c r="B908" s="286"/>
      <c r="C908" s="286"/>
      <c r="D908" s="286"/>
      <c r="E908" s="42"/>
      <c r="F908" s="42"/>
      <c r="G908" s="44"/>
      <c r="H908" s="44"/>
    </row>
    <row r="909" spans="1:8" ht="12">
      <c r="A909" s="287" t="s">
        <v>2614</v>
      </c>
      <c r="B909" s="287"/>
      <c r="C909" s="287"/>
      <c r="D909" s="287"/>
      <c r="E909" s="42"/>
      <c r="F909" s="42"/>
      <c r="G909" s="44"/>
      <c r="H909" s="44"/>
    </row>
    <row r="910" spans="1:12" ht="12">
      <c r="A910" s="287" t="s">
        <v>2615</v>
      </c>
      <c r="B910" s="287"/>
      <c r="C910" s="287"/>
      <c r="D910" s="287"/>
      <c r="E910" s="42"/>
      <c r="F910" s="42"/>
      <c r="G910" s="44"/>
      <c r="H910" s="44"/>
      <c r="J910" s="177"/>
      <c r="K910" s="177"/>
      <c r="L910" s="177"/>
    </row>
    <row r="911" spans="1:8" ht="12">
      <c r="A911" s="9"/>
      <c r="B911" s="4"/>
      <c r="C911" s="11"/>
      <c r="D911" s="46"/>
      <c r="E911" s="1"/>
      <c r="F911" s="2"/>
      <c r="G911" s="2"/>
      <c r="H911" s="2"/>
    </row>
    <row r="916" spans="10:12" ht="11.25">
      <c r="J916" s="177"/>
      <c r="K916" s="177"/>
      <c r="L916" s="177"/>
    </row>
    <row r="917" spans="10:12" ht="11.25">
      <c r="J917" s="177"/>
      <c r="K917" s="177"/>
      <c r="L917" s="177"/>
    </row>
    <row r="920" spans="6:7" ht="11.25">
      <c r="F920" s="177"/>
      <c r="G920" s="177"/>
    </row>
    <row r="922" spans="10:12" ht="11.25">
      <c r="J922" s="177"/>
      <c r="K922" s="177"/>
      <c r="L922" s="177"/>
    </row>
    <row r="924" spans="8:9" ht="11.25">
      <c r="H924" s="177"/>
      <c r="I924" s="177"/>
    </row>
    <row r="925" spans="6:7" ht="11.25">
      <c r="F925" s="177"/>
      <c r="G925" s="177"/>
    </row>
    <row r="927" spans="10:12" ht="11.25">
      <c r="J927" s="177"/>
      <c r="K927" s="177"/>
      <c r="L927" s="177"/>
    </row>
    <row r="929" spans="8:9" ht="11.25">
      <c r="H929" s="177"/>
      <c r="I929" s="177"/>
    </row>
    <row r="932" spans="10:12" ht="11.25">
      <c r="J932" s="177"/>
      <c r="K932" s="177"/>
      <c r="L932" s="177"/>
    </row>
    <row r="933" spans="6:12" ht="11.25">
      <c r="F933" s="177"/>
      <c r="G933" s="177"/>
      <c r="J933" s="177"/>
      <c r="K933" s="177"/>
      <c r="L933" s="177"/>
    </row>
    <row r="935" spans="10:12" ht="11.25">
      <c r="J935" s="177"/>
      <c r="K935" s="177"/>
      <c r="L935" s="177"/>
    </row>
    <row r="936" spans="10:12" ht="11.25">
      <c r="J936" s="177"/>
      <c r="K936" s="177"/>
      <c r="L936" s="177"/>
    </row>
    <row r="937" spans="8:9" ht="11.25">
      <c r="H937" s="177"/>
      <c r="I937" s="177"/>
    </row>
    <row r="938" spans="6:12" ht="11.25">
      <c r="F938" s="177"/>
      <c r="G938" s="177"/>
      <c r="J938" s="177"/>
      <c r="K938" s="177"/>
      <c r="L938" s="177"/>
    </row>
    <row r="939" spans="10:12" ht="11.25">
      <c r="J939" s="177"/>
      <c r="K939" s="177"/>
      <c r="L939" s="177"/>
    </row>
    <row r="942" spans="8:9" ht="11.25">
      <c r="H942" s="177"/>
      <c r="I942" s="177"/>
    </row>
    <row r="971" spans="6:7" ht="11.25">
      <c r="F971" s="177"/>
      <c r="G971" s="177"/>
    </row>
    <row r="975" spans="8:9" ht="11.25">
      <c r="H975" s="177"/>
      <c r="I975" s="177"/>
    </row>
    <row r="982" spans="6:7" ht="11.25">
      <c r="F982" s="177"/>
      <c r="G982" s="177"/>
    </row>
    <row r="983" spans="6:7" ht="11.25">
      <c r="F983" s="177"/>
      <c r="G983" s="177"/>
    </row>
    <row r="986" spans="8:9" ht="11.25">
      <c r="H986" s="177"/>
      <c r="I986" s="177"/>
    </row>
    <row r="987" spans="6:9" ht="11.25">
      <c r="F987" s="177"/>
      <c r="G987" s="177"/>
      <c r="H987" s="177"/>
      <c r="I987" s="177"/>
    </row>
    <row r="989" spans="6:7" ht="11.25">
      <c r="F989" s="177"/>
      <c r="G989" s="177"/>
    </row>
    <row r="991" spans="6:9" ht="11.25">
      <c r="F991" s="177"/>
      <c r="G991" s="177"/>
      <c r="H991" s="177"/>
      <c r="I991" s="177"/>
    </row>
    <row r="993" spans="6:9" ht="11.25">
      <c r="F993" s="177"/>
      <c r="G993" s="177"/>
      <c r="H993" s="177"/>
      <c r="I993" s="177"/>
    </row>
    <row r="995" spans="8:9" ht="11.25">
      <c r="H995" s="177"/>
      <c r="I995" s="177"/>
    </row>
    <row r="997" spans="8:9" ht="11.25">
      <c r="H997" s="177"/>
      <c r="I997" s="177"/>
    </row>
    <row r="1001" spans="6:7" ht="11.25">
      <c r="F1001" s="177"/>
      <c r="G1001" s="177"/>
    </row>
    <row r="1005" spans="8:9" ht="11.25">
      <c r="H1005" s="177"/>
      <c r="I1005" s="177"/>
    </row>
    <row r="1006" spans="6:7" ht="11.25">
      <c r="F1006" s="177"/>
      <c r="G1006" s="177"/>
    </row>
    <row r="1007" spans="6:7" ht="11.25">
      <c r="F1007" s="177"/>
      <c r="G1007" s="177"/>
    </row>
    <row r="1010" spans="8:9" ht="11.25">
      <c r="H1010" s="177"/>
      <c r="I1010" s="177"/>
    </row>
    <row r="1011" spans="8:9" ht="11.25">
      <c r="H1011" s="177"/>
      <c r="I1011" s="177"/>
    </row>
    <row r="1013" spans="6:7" ht="11.25">
      <c r="F1013" s="177"/>
      <c r="G1013" s="177"/>
    </row>
    <row r="1017" spans="8:9" ht="11.25">
      <c r="H1017" s="177"/>
      <c r="I1017" s="177"/>
    </row>
    <row r="1031" spans="6:7" ht="11.25">
      <c r="F1031" s="177"/>
      <c r="G1031" s="177"/>
    </row>
    <row r="1035" spans="8:9" ht="11.25">
      <c r="H1035" s="177"/>
      <c r="I1035" s="177"/>
    </row>
    <row r="1037" spans="6:7" ht="11.25">
      <c r="F1037" s="177"/>
      <c r="G1037" s="177"/>
    </row>
    <row r="1040" spans="6:7" ht="11.25">
      <c r="F1040" s="177"/>
      <c r="G1040" s="177"/>
    </row>
    <row r="1041" spans="8:9" ht="11.25">
      <c r="H1041" s="177"/>
      <c r="I1041" s="177"/>
    </row>
    <row r="1044" spans="8:9" ht="11.25">
      <c r="H1044" s="177"/>
      <c r="I1044" s="177"/>
    </row>
    <row r="1045" spans="6:7" ht="11.25">
      <c r="F1045" s="177"/>
      <c r="G1045" s="177"/>
    </row>
    <row r="1049" spans="8:9" ht="11.25">
      <c r="H1049" s="177"/>
      <c r="I1049" s="177"/>
    </row>
    <row r="1053" spans="6:7" ht="11.25">
      <c r="F1053" s="177"/>
      <c r="G1053" s="177"/>
    </row>
    <row r="1055" spans="6:7" ht="11.25">
      <c r="F1055" s="177"/>
      <c r="G1055" s="177"/>
    </row>
    <row r="1056" spans="6:7" ht="11.25">
      <c r="F1056" s="177"/>
      <c r="G1056" s="177"/>
    </row>
    <row r="1057" spans="8:9" ht="11.25">
      <c r="H1057" s="177"/>
      <c r="I1057" s="177"/>
    </row>
    <row r="1058" spans="6:7" ht="11.25">
      <c r="F1058" s="177"/>
      <c r="G1058" s="177"/>
    </row>
    <row r="1059" spans="8:9" ht="11.25">
      <c r="H1059" s="177"/>
      <c r="I1059" s="177"/>
    </row>
    <row r="1060" spans="6:9" ht="11.25">
      <c r="F1060" s="177"/>
      <c r="G1060" s="177"/>
      <c r="H1060" s="177"/>
      <c r="I1060" s="177"/>
    </row>
    <row r="1061" spans="6:7" ht="11.25">
      <c r="F1061" s="177"/>
      <c r="G1061" s="177"/>
    </row>
    <row r="1062" spans="8:9" ht="11.25">
      <c r="H1062" s="177"/>
      <c r="I1062" s="177"/>
    </row>
    <row r="1064" spans="6:9" ht="11.25">
      <c r="F1064" s="177"/>
      <c r="G1064" s="177"/>
      <c r="H1064" s="177"/>
      <c r="I1064" s="177"/>
    </row>
    <row r="1065" spans="8:9" ht="11.25">
      <c r="H1065" s="177"/>
      <c r="I1065" s="177"/>
    </row>
    <row r="1067" spans="6:7" ht="11.25">
      <c r="F1067" s="177"/>
      <c r="G1067" s="177"/>
    </row>
    <row r="1068" spans="8:9" ht="11.25">
      <c r="H1068" s="177"/>
      <c r="I1068" s="177"/>
    </row>
    <row r="1070" spans="6:7" ht="11.25">
      <c r="F1070" s="177"/>
      <c r="G1070" s="177"/>
    </row>
    <row r="1071" spans="6:9" ht="11.25">
      <c r="F1071" s="177"/>
      <c r="G1071" s="177"/>
      <c r="H1071" s="177"/>
      <c r="I1071" s="177"/>
    </row>
    <row r="1074" spans="8:9" ht="11.25">
      <c r="H1074" s="177"/>
      <c r="I1074" s="177"/>
    </row>
    <row r="1075" spans="8:9" ht="11.25">
      <c r="H1075" s="177"/>
      <c r="I1075" s="177"/>
    </row>
    <row r="1078" spans="6:7" ht="11.25">
      <c r="F1078" s="177"/>
      <c r="G1078" s="177"/>
    </row>
    <row r="1080" spans="6:7" ht="11.25">
      <c r="F1080" s="177"/>
      <c r="G1080" s="177"/>
    </row>
    <row r="1082" spans="6:9" ht="11.25">
      <c r="F1082" s="177"/>
      <c r="G1082" s="177"/>
      <c r="H1082" s="177"/>
      <c r="I1082" s="177"/>
    </row>
    <row r="1084" spans="6:9" ht="11.25">
      <c r="F1084" s="177"/>
      <c r="G1084" s="177"/>
      <c r="H1084" s="177"/>
      <c r="I1084" s="177"/>
    </row>
    <row r="1085" spans="6:7" ht="11.25">
      <c r="F1085" s="177"/>
      <c r="G1085" s="177"/>
    </row>
    <row r="1086" spans="8:9" ht="11.25">
      <c r="H1086" s="177"/>
      <c r="I1086" s="177"/>
    </row>
    <row r="1088" spans="6:9" ht="11.25">
      <c r="F1088" s="177"/>
      <c r="G1088" s="177"/>
      <c r="H1088" s="177"/>
      <c r="I1088" s="177"/>
    </row>
    <row r="1089" spans="8:9" ht="11.25">
      <c r="H1089" s="177"/>
      <c r="I1089" s="177"/>
    </row>
    <row r="1091" spans="6:7" ht="11.25">
      <c r="F1091" s="177"/>
      <c r="G1091" s="177"/>
    </row>
    <row r="1092" spans="8:9" ht="11.25">
      <c r="H1092" s="177"/>
      <c r="I1092" s="177"/>
    </row>
    <row r="1095" spans="6:9" ht="11.25">
      <c r="F1095" s="177"/>
      <c r="G1095" s="177"/>
      <c r="H1095" s="177"/>
      <c r="I1095" s="177"/>
    </row>
    <row r="1099" spans="8:9" ht="11.25">
      <c r="H1099" s="177"/>
      <c r="I1099" s="177"/>
    </row>
    <row r="1114" spans="6:7" ht="11.25">
      <c r="F1114" s="177"/>
      <c r="G1114" s="177"/>
    </row>
    <row r="1115" spans="6:7" ht="11.25">
      <c r="F1115" s="177"/>
      <c r="G1115" s="177"/>
    </row>
    <row r="1117" spans="6:7" ht="11.25">
      <c r="F1117" s="177"/>
      <c r="G1117" s="177"/>
    </row>
    <row r="1118" spans="6:9" ht="11.25">
      <c r="F1118" s="177"/>
      <c r="G1118" s="177"/>
      <c r="H1118" s="177"/>
      <c r="I1118" s="177"/>
    </row>
    <row r="1119" spans="6:9" ht="11.25">
      <c r="F1119" s="177"/>
      <c r="G1119" s="177"/>
      <c r="H1119" s="177"/>
      <c r="I1119" s="177"/>
    </row>
    <row r="1121" spans="8:9" ht="11.25">
      <c r="H1121" s="177"/>
      <c r="I1121" s="177"/>
    </row>
    <row r="1122" spans="6:9" ht="11.25">
      <c r="F1122" s="177"/>
      <c r="G1122" s="177"/>
      <c r="H1122" s="177"/>
      <c r="I1122" s="177"/>
    </row>
    <row r="1123" spans="8:9" ht="11.25">
      <c r="H1123" s="177"/>
      <c r="I1123" s="177"/>
    </row>
    <row r="1124" spans="6:7" ht="11.25">
      <c r="F1124" s="177"/>
      <c r="G1124" s="177"/>
    </row>
    <row r="1126" spans="8:9" ht="11.25">
      <c r="H1126" s="177"/>
      <c r="I1126" s="177"/>
    </row>
    <row r="1128" spans="6:9" ht="11.25">
      <c r="F1128" s="177"/>
      <c r="G1128" s="177"/>
      <c r="H1128" s="177"/>
      <c r="I1128" s="177"/>
    </row>
    <row r="1130" spans="6:7" ht="11.25">
      <c r="F1130" s="177"/>
      <c r="G1130" s="177"/>
    </row>
    <row r="1131" spans="6:7" ht="11.25">
      <c r="F1131" s="177"/>
      <c r="G1131" s="177"/>
    </row>
    <row r="1132" spans="8:9" ht="11.25">
      <c r="H1132" s="177"/>
      <c r="I1132" s="177"/>
    </row>
    <row r="1134" spans="8:9" ht="11.25">
      <c r="H1134" s="177"/>
      <c r="I1134" s="177"/>
    </row>
    <row r="1135" spans="8:9" ht="11.25">
      <c r="H1135" s="177"/>
      <c r="I1135" s="177"/>
    </row>
    <row r="1136" spans="6:7" ht="11.25">
      <c r="F1136" s="177"/>
      <c r="G1136" s="177"/>
    </row>
    <row r="1137" spans="6:7" ht="11.25">
      <c r="F1137" s="177"/>
      <c r="G1137" s="177"/>
    </row>
    <row r="1138" spans="6:7" ht="11.25">
      <c r="F1138" s="177"/>
      <c r="G1138" s="177"/>
    </row>
    <row r="1140" spans="6:9" ht="11.25">
      <c r="F1140" s="177"/>
      <c r="G1140" s="177"/>
      <c r="H1140" s="177"/>
      <c r="I1140" s="177"/>
    </row>
    <row r="1141" spans="8:9" ht="11.25">
      <c r="H1141" s="177"/>
      <c r="I1141" s="177"/>
    </row>
    <row r="1142" spans="6:9" ht="11.25">
      <c r="F1142" s="177"/>
      <c r="G1142" s="177"/>
      <c r="H1142" s="177"/>
      <c r="I1142" s="177"/>
    </row>
    <row r="1144" spans="6:9" ht="11.25">
      <c r="F1144" s="177"/>
      <c r="G1144" s="177"/>
      <c r="H1144" s="177"/>
      <c r="I1144" s="177"/>
    </row>
    <row r="1145" spans="6:7" ht="11.25">
      <c r="F1145" s="177"/>
      <c r="G1145" s="177"/>
    </row>
    <row r="1146" spans="8:9" ht="11.25">
      <c r="H1146" s="177"/>
      <c r="I1146" s="177"/>
    </row>
    <row r="1148" spans="8:9" ht="11.25">
      <c r="H1148" s="177"/>
      <c r="I1148" s="177"/>
    </row>
    <row r="1149" spans="6:9" ht="11.25">
      <c r="F1149" s="177"/>
      <c r="G1149" s="177"/>
      <c r="H1149" s="177"/>
      <c r="I1149" s="177"/>
    </row>
    <row r="1152" spans="6:7" ht="11.25">
      <c r="F1152" s="177"/>
      <c r="G1152" s="177"/>
    </row>
    <row r="1153" spans="6:9" ht="11.25">
      <c r="F1153" s="177"/>
      <c r="G1153" s="177"/>
      <c r="H1153" s="177"/>
      <c r="I1153" s="177"/>
    </row>
    <row r="1156" spans="8:9" ht="11.25">
      <c r="H1156" s="177"/>
      <c r="I1156" s="177"/>
    </row>
    <row r="1157" spans="6:9" ht="11.25">
      <c r="F1157" s="177"/>
      <c r="G1157" s="177"/>
      <c r="H1157" s="177"/>
      <c r="I1157" s="177"/>
    </row>
    <row r="1160" spans="6:7" ht="11.25">
      <c r="F1160" s="177"/>
      <c r="G1160" s="177"/>
    </row>
    <row r="1161" spans="6:9" ht="11.25">
      <c r="F1161" s="177"/>
      <c r="G1161" s="177"/>
      <c r="H1161" s="177"/>
      <c r="I1161" s="177"/>
    </row>
    <row r="1162" spans="6:7" ht="11.25">
      <c r="F1162" s="177"/>
      <c r="G1162" s="177"/>
    </row>
    <row r="1164" spans="8:9" ht="11.25">
      <c r="H1164" s="177"/>
      <c r="I1164" s="177"/>
    </row>
    <row r="1165" spans="6:9" ht="11.25">
      <c r="F1165" s="177"/>
      <c r="G1165" s="177"/>
      <c r="H1165" s="177"/>
      <c r="I1165" s="177"/>
    </row>
    <row r="1166" spans="8:9" ht="11.25">
      <c r="H1166" s="177"/>
      <c r="I1166" s="177"/>
    </row>
    <row r="1168" spans="6:7" ht="11.25">
      <c r="F1168" s="177"/>
      <c r="G1168" s="177"/>
    </row>
    <row r="1169" spans="8:9" ht="11.25">
      <c r="H1169" s="177"/>
      <c r="I1169" s="177"/>
    </row>
    <row r="1171" spans="6:7" ht="11.25">
      <c r="F1171" s="177"/>
      <c r="G1171" s="177"/>
    </row>
    <row r="1172" spans="8:9" ht="11.25">
      <c r="H1172" s="177"/>
      <c r="I1172" s="177"/>
    </row>
    <row r="1174" spans="6:7" ht="11.25">
      <c r="F1174" s="177"/>
      <c r="G1174" s="177"/>
    </row>
    <row r="1175" spans="8:9" ht="11.25">
      <c r="H1175" s="177"/>
      <c r="I1175" s="177"/>
    </row>
    <row r="1176" spans="6:7" ht="11.25">
      <c r="F1176" s="177"/>
      <c r="G1176" s="177"/>
    </row>
    <row r="1178" spans="6:9" ht="11.25">
      <c r="F1178" s="177"/>
      <c r="G1178" s="177"/>
      <c r="H1178" s="177"/>
      <c r="I1178" s="177"/>
    </row>
    <row r="1180" spans="6:9" ht="11.25">
      <c r="F1180" s="177"/>
      <c r="G1180" s="177"/>
      <c r="H1180" s="177"/>
      <c r="I1180" s="177"/>
    </row>
    <row r="1182" spans="6:9" ht="11.25">
      <c r="F1182" s="205">
        <v>0</v>
      </c>
      <c r="G1182" s="205">
        <v>0</v>
      </c>
      <c r="H1182" s="177"/>
      <c r="I1182" s="177"/>
    </row>
    <row r="1183" spans="6:7" ht="11.25">
      <c r="F1183" s="205">
        <v>0</v>
      </c>
      <c r="G1183" s="205">
        <v>0</v>
      </c>
    </row>
    <row r="1184" spans="6:9" ht="11.25">
      <c r="F1184" s="205">
        <v>0</v>
      </c>
      <c r="G1184" s="205">
        <v>0</v>
      </c>
      <c r="H1184" s="177"/>
      <c r="I1184" s="177"/>
    </row>
    <row r="1185" spans="6:7" ht="11.25">
      <c r="F1185" s="205">
        <v>0</v>
      </c>
      <c r="G1185" s="205">
        <v>0</v>
      </c>
    </row>
    <row r="1186" spans="6:9" ht="11.25">
      <c r="F1186" s="205">
        <v>0</v>
      </c>
      <c r="G1186" s="205">
        <v>0</v>
      </c>
      <c r="H1186" s="177"/>
      <c r="I1186" s="177"/>
    </row>
    <row r="1187" spans="6:9" ht="11.25">
      <c r="F1187" s="205">
        <v>0</v>
      </c>
      <c r="G1187" s="205">
        <v>0</v>
      </c>
      <c r="H1187" s="177"/>
      <c r="I1187" s="177"/>
    </row>
    <row r="1188" spans="6:7" ht="11.25">
      <c r="F1188" s="205">
        <v>0</v>
      </c>
      <c r="G1188" s="205">
        <v>0</v>
      </c>
    </row>
    <row r="1189" spans="6:7" ht="11.25">
      <c r="F1189" s="205">
        <v>0</v>
      </c>
      <c r="G1189" s="205">
        <v>0</v>
      </c>
    </row>
    <row r="1190" spans="6:7" ht="11.25">
      <c r="F1190" s="205">
        <v>0</v>
      </c>
      <c r="G1190" s="205">
        <v>0</v>
      </c>
    </row>
    <row r="1191" spans="6:7" ht="11.25">
      <c r="F1191" s="205">
        <v>0</v>
      </c>
      <c r="G1191" s="205">
        <v>0</v>
      </c>
    </row>
    <row r="1192" spans="6:7" ht="11.25">
      <c r="F1192" s="205">
        <v>0</v>
      </c>
      <c r="G1192" s="205">
        <v>0</v>
      </c>
    </row>
    <row r="1193" spans="6:7" ht="11.25">
      <c r="F1193" s="205">
        <v>0</v>
      </c>
      <c r="G1193" s="205">
        <v>0</v>
      </c>
    </row>
    <row r="1194" spans="6:7" ht="11.25">
      <c r="F1194" s="205">
        <v>0</v>
      </c>
      <c r="G1194" s="205">
        <v>0</v>
      </c>
    </row>
    <row r="1195" spans="6:7" ht="11.25">
      <c r="F1195" s="205">
        <v>0</v>
      </c>
      <c r="G1195" s="205">
        <v>0</v>
      </c>
    </row>
    <row r="1196" spans="6:7" ht="11.25">
      <c r="F1196" s="205">
        <v>0</v>
      </c>
      <c r="G1196" s="205">
        <v>0</v>
      </c>
    </row>
    <row r="1197" spans="6:7" ht="11.25">
      <c r="F1197" s="205">
        <v>0</v>
      </c>
      <c r="G1197" s="205">
        <v>0</v>
      </c>
    </row>
    <row r="1198" spans="6:7" ht="11.25">
      <c r="F1198" s="205">
        <v>0</v>
      </c>
      <c r="G1198" s="205">
        <v>0</v>
      </c>
    </row>
    <row r="1199" spans="6:7" ht="11.25">
      <c r="F1199" s="205">
        <v>0</v>
      </c>
      <c r="G1199" s="205">
        <v>0</v>
      </c>
    </row>
    <row r="1200" spans="6:7" ht="11.25">
      <c r="F1200" s="205">
        <v>0</v>
      </c>
      <c r="G1200" s="205">
        <v>0</v>
      </c>
    </row>
    <row r="1201" spans="6:7" ht="11.25">
      <c r="F1201" s="205">
        <v>0</v>
      </c>
      <c r="G1201" s="205">
        <v>0</v>
      </c>
    </row>
    <row r="1202" spans="6:7" ht="11.25">
      <c r="F1202" s="205">
        <v>0</v>
      </c>
      <c r="G1202" s="205">
        <v>0</v>
      </c>
    </row>
    <row r="1203" spans="6:7" ht="11.25">
      <c r="F1203" s="205">
        <v>0</v>
      </c>
      <c r="G1203" s="205">
        <v>0</v>
      </c>
    </row>
    <row r="1204" spans="6:7" ht="11.25">
      <c r="F1204" s="205">
        <v>0</v>
      </c>
      <c r="G1204" s="205">
        <v>0</v>
      </c>
    </row>
    <row r="1205" spans="6:7" ht="11.25">
      <c r="F1205" s="205">
        <v>0</v>
      </c>
      <c r="G1205" s="205">
        <v>0</v>
      </c>
    </row>
    <row r="1206" spans="6:9" ht="11.25">
      <c r="F1206" s="205">
        <v>0</v>
      </c>
      <c r="G1206" s="205">
        <v>0</v>
      </c>
      <c r="H1206" s="177"/>
      <c r="I1206" s="177"/>
    </row>
    <row r="1207" spans="6:7" ht="11.25">
      <c r="F1207" s="205">
        <v>0</v>
      </c>
      <c r="G1207" s="205">
        <v>0</v>
      </c>
    </row>
    <row r="1208" spans="6:7" ht="11.25">
      <c r="F1208" s="205">
        <v>0</v>
      </c>
      <c r="G1208" s="205">
        <v>0</v>
      </c>
    </row>
    <row r="1209" spans="6:7" ht="11.25">
      <c r="F1209" s="205">
        <v>0</v>
      </c>
      <c r="G1209" s="205">
        <v>0</v>
      </c>
    </row>
    <row r="1210" spans="6:7" ht="11.25">
      <c r="F1210" s="205">
        <v>0</v>
      </c>
      <c r="G1210" s="205">
        <v>0</v>
      </c>
    </row>
    <row r="1211" spans="6:7" ht="11.25">
      <c r="F1211" s="205">
        <v>0</v>
      </c>
      <c r="G1211" s="205">
        <v>0</v>
      </c>
    </row>
    <row r="1212" spans="6:7" ht="11.25">
      <c r="F1212" s="205">
        <v>0</v>
      </c>
      <c r="G1212" s="205">
        <v>0</v>
      </c>
    </row>
    <row r="1213" spans="6:7" ht="11.25">
      <c r="F1213" s="205">
        <v>0</v>
      </c>
      <c r="G1213" s="205">
        <v>0</v>
      </c>
    </row>
    <row r="1214" spans="6:7" ht="11.25">
      <c r="F1214" s="205">
        <v>0</v>
      </c>
      <c r="G1214" s="205">
        <v>0</v>
      </c>
    </row>
    <row r="1215" spans="6:7" ht="11.25">
      <c r="F1215" s="205">
        <v>0</v>
      </c>
      <c r="G1215" s="205">
        <v>0</v>
      </c>
    </row>
    <row r="1216" spans="6:7" ht="11.25">
      <c r="F1216" s="205">
        <v>0</v>
      </c>
      <c r="G1216" s="205">
        <v>0</v>
      </c>
    </row>
    <row r="1217" spans="6:7" ht="11.25">
      <c r="F1217" s="205">
        <v>0</v>
      </c>
      <c r="G1217" s="205">
        <v>0</v>
      </c>
    </row>
    <row r="1218" spans="6:7" ht="11.25">
      <c r="F1218" s="205">
        <v>0</v>
      </c>
      <c r="G1218" s="205">
        <v>0</v>
      </c>
    </row>
    <row r="1219" spans="6:7" ht="11.25">
      <c r="F1219" s="205">
        <v>0</v>
      </c>
      <c r="G1219" s="205">
        <v>0</v>
      </c>
    </row>
    <row r="1220" spans="6:7" ht="11.25">
      <c r="F1220" s="205">
        <v>0</v>
      </c>
      <c r="G1220" s="205">
        <v>0</v>
      </c>
    </row>
    <row r="1221" spans="6:7" ht="11.25">
      <c r="F1221" s="205">
        <v>0</v>
      </c>
      <c r="G1221" s="205">
        <v>0</v>
      </c>
    </row>
    <row r="1222" spans="6:7" ht="11.25">
      <c r="F1222" s="205">
        <v>0</v>
      </c>
      <c r="G1222" s="205">
        <v>0</v>
      </c>
    </row>
    <row r="1223" spans="6:7" ht="11.25">
      <c r="F1223" s="205">
        <v>0</v>
      </c>
      <c r="G1223" s="205">
        <v>0</v>
      </c>
    </row>
    <row r="1224" spans="6:9" ht="11.25">
      <c r="F1224" s="205">
        <v>0</v>
      </c>
      <c r="G1224" s="205">
        <v>0</v>
      </c>
      <c r="H1224" s="177"/>
      <c r="I1224" s="177"/>
    </row>
    <row r="1225" spans="6:7" ht="11.25">
      <c r="F1225" s="205">
        <v>0</v>
      </c>
      <c r="G1225" s="205">
        <v>0</v>
      </c>
    </row>
    <row r="1226" spans="6:7" ht="11.25">
      <c r="F1226" s="205">
        <v>0</v>
      </c>
      <c r="G1226" s="205">
        <v>0</v>
      </c>
    </row>
    <row r="1227" spans="6:7" ht="11.25">
      <c r="F1227" s="205">
        <v>0</v>
      </c>
      <c r="G1227" s="205">
        <v>0</v>
      </c>
    </row>
    <row r="1228" spans="6:7" ht="11.25">
      <c r="F1228" s="205">
        <v>0</v>
      </c>
      <c r="G1228" s="205">
        <v>0</v>
      </c>
    </row>
    <row r="1229" spans="6:7" ht="11.25">
      <c r="F1229" s="205">
        <v>0</v>
      </c>
      <c r="G1229" s="205">
        <v>0</v>
      </c>
    </row>
    <row r="1230" spans="6:7" ht="11.25">
      <c r="F1230" s="205">
        <v>0</v>
      </c>
      <c r="G1230" s="205">
        <v>0</v>
      </c>
    </row>
    <row r="1231" spans="6:7" ht="11.25">
      <c r="F1231" s="205">
        <v>0</v>
      </c>
      <c r="G1231" s="205">
        <v>0</v>
      </c>
    </row>
    <row r="1232" spans="6:7" ht="11.25">
      <c r="F1232" s="205">
        <v>0</v>
      </c>
      <c r="G1232" s="205">
        <v>0</v>
      </c>
    </row>
    <row r="1233" spans="6:7" ht="11.25">
      <c r="F1233" s="205">
        <v>0</v>
      </c>
      <c r="G1233" s="205">
        <v>0</v>
      </c>
    </row>
    <row r="1234" spans="6:7" ht="11.25">
      <c r="F1234" s="205">
        <v>0</v>
      </c>
      <c r="G1234" s="205">
        <v>0</v>
      </c>
    </row>
    <row r="1235" spans="6:7" ht="11.25">
      <c r="F1235" s="205">
        <v>0</v>
      </c>
      <c r="G1235" s="205">
        <v>0</v>
      </c>
    </row>
    <row r="1236" spans="6:7" ht="11.25">
      <c r="F1236" s="205">
        <v>0</v>
      </c>
      <c r="G1236" s="205">
        <v>0</v>
      </c>
    </row>
    <row r="1237" spans="6:7" ht="11.25">
      <c r="F1237" s="205">
        <v>0</v>
      </c>
      <c r="G1237" s="205">
        <v>0</v>
      </c>
    </row>
    <row r="1238" spans="6:7" ht="11.25">
      <c r="F1238" s="205">
        <v>0</v>
      </c>
      <c r="G1238" s="205">
        <v>0</v>
      </c>
    </row>
    <row r="1239" spans="6:7" ht="11.25">
      <c r="F1239" s="205">
        <v>0</v>
      </c>
      <c r="G1239" s="205">
        <v>0</v>
      </c>
    </row>
    <row r="1240" spans="6:7" ht="11.25">
      <c r="F1240" s="205">
        <v>0</v>
      </c>
      <c r="G1240" s="205">
        <v>0</v>
      </c>
    </row>
    <row r="1241" spans="6:7" ht="11.25">
      <c r="F1241" s="205">
        <v>0</v>
      </c>
      <c r="G1241" s="205">
        <v>0</v>
      </c>
    </row>
    <row r="1242" spans="6:7" ht="11.25">
      <c r="F1242" s="205">
        <v>0</v>
      </c>
      <c r="G1242" s="205">
        <v>0</v>
      </c>
    </row>
    <row r="1243" spans="6:9" ht="11.25">
      <c r="F1243" s="205">
        <v>0</v>
      </c>
      <c r="G1243" s="205">
        <v>0</v>
      </c>
      <c r="H1243" s="177"/>
      <c r="I1243" s="177"/>
    </row>
    <row r="1244" spans="6:7" ht="11.25">
      <c r="F1244" s="205">
        <v>0</v>
      </c>
      <c r="G1244" s="205">
        <v>0</v>
      </c>
    </row>
    <row r="1245" spans="6:7" ht="11.25">
      <c r="F1245" s="205">
        <v>0</v>
      </c>
      <c r="G1245" s="205">
        <v>0</v>
      </c>
    </row>
    <row r="1246" spans="6:7" ht="11.25">
      <c r="F1246" s="205">
        <v>0</v>
      </c>
      <c r="G1246" s="205">
        <v>0</v>
      </c>
    </row>
    <row r="1247" spans="6:7" ht="11.25">
      <c r="F1247" s="205">
        <v>0</v>
      </c>
      <c r="G1247" s="205">
        <v>0</v>
      </c>
    </row>
    <row r="1248" spans="6:7" ht="11.25">
      <c r="F1248" s="205">
        <v>0</v>
      </c>
      <c r="G1248" s="205">
        <v>0</v>
      </c>
    </row>
    <row r="1249" spans="6:7" ht="11.25">
      <c r="F1249" s="205">
        <v>0</v>
      </c>
      <c r="G1249" s="205">
        <v>0</v>
      </c>
    </row>
    <row r="1250" spans="6:7" ht="11.25">
      <c r="F1250" s="205">
        <v>0</v>
      </c>
      <c r="G1250" s="205">
        <v>0</v>
      </c>
    </row>
    <row r="1251" spans="6:7" ht="11.25">
      <c r="F1251" s="205">
        <v>0</v>
      </c>
      <c r="G1251" s="205">
        <v>0</v>
      </c>
    </row>
    <row r="1252" spans="6:7" ht="11.25">
      <c r="F1252" s="205">
        <v>0</v>
      </c>
      <c r="G1252" s="205">
        <v>0</v>
      </c>
    </row>
    <row r="1253" spans="6:7" ht="11.25">
      <c r="F1253" s="205">
        <v>0</v>
      </c>
      <c r="G1253" s="205">
        <v>0</v>
      </c>
    </row>
    <row r="1254" spans="6:7" ht="11.25">
      <c r="F1254" s="205">
        <v>0</v>
      </c>
      <c r="G1254" s="205">
        <v>0</v>
      </c>
    </row>
    <row r="1255" spans="6:7" ht="11.25">
      <c r="F1255" s="205">
        <v>0</v>
      </c>
      <c r="G1255" s="205">
        <v>0</v>
      </c>
    </row>
    <row r="1256" spans="6:7" ht="11.25">
      <c r="F1256" s="205">
        <v>0</v>
      </c>
      <c r="G1256" s="205">
        <v>0</v>
      </c>
    </row>
    <row r="1257" spans="6:7" ht="11.25">
      <c r="F1257" s="205">
        <v>0</v>
      </c>
      <c r="G1257" s="205">
        <v>0</v>
      </c>
    </row>
    <row r="1258" spans="6:7" ht="11.25">
      <c r="F1258" s="205">
        <v>0</v>
      </c>
      <c r="G1258" s="205">
        <v>0</v>
      </c>
    </row>
    <row r="1259" spans="6:7" ht="11.25">
      <c r="F1259" s="205">
        <v>0</v>
      </c>
      <c r="G1259" s="205">
        <v>0</v>
      </c>
    </row>
    <row r="1260" spans="6:7" ht="11.25">
      <c r="F1260" s="205">
        <v>0</v>
      </c>
      <c r="G1260" s="205">
        <v>0</v>
      </c>
    </row>
    <row r="1261" spans="6:7" ht="11.25">
      <c r="F1261" s="205">
        <v>0</v>
      </c>
      <c r="G1261" s="205">
        <v>0</v>
      </c>
    </row>
    <row r="1262" spans="6:9" ht="11.25">
      <c r="F1262" s="205">
        <v>0</v>
      </c>
      <c r="G1262" s="205">
        <v>0</v>
      </c>
      <c r="H1262" s="177"/>
      <c r="I1262" s="177"/>
    </row>
    <row r="1263" spans="6:7" ht="11.25">
      <c r="F1263" s="205">
        <v>0</v>
      </c>
      <c r="G1263" s="205">
        <v>0</v>
      </c>
    </row>
    <row r="1264" spans="6:7" ht="11.25">
      <c r="F1264" s="205">
        <v>0</v>
      </c>
      <c r="G1264" s="205">
        <v>0</v>
      </c>
    </row>
    <row r="1265" spans="6:7" ht="11.25">
      <c r="F1265" s="205">
        <v>0</v>
      </c>
      <c r="G1265" s="205">
        <v>0</v>
      </c>
    </row>
    <row r="1266" spans="6:7" ht="11.25">
      <c r="F1266" s="205">
        <v>0</v>
      </c>
      <c r="G1266" s="205">
        <v>0</v>
      </c>
    </row>
    <row r="1267" spans="6:7" ht="11.25">
      <c r="F1267" s="205">
        <v>0</v>
      </c>
      <c r="G1267" s="205">
        <v>0</v>
      </c>
    </row>
    <row r="1268" spans="6:7" ht="11.25">
      <c r="F1268" s="205">
        <v>0</v>
      </c>
      <c r="G1268" s="205">
        <v>0</v>
      </c>
    </row>
    <row r="1269" spans="6:7" ht="11.25">
      <c r="F1269" s="205">
        <v>0</v>
      </c>
      <c r="G1269" s="205">
        <v>0</v>
      </c>
    </row>
    <row r="1270" spans="6:7" ht="11.25">
      <c r="F1270" s="205">
        <v>0</v>
      </c>
      <c r="G1270" s="205">
        <v>0</v>
      </c>
    </row>
    <row r="1271" spans="6:7" ht="11.25">
      <c r="F1271" s="205">
        <v>0</v>
      </c>
      <c r="G1271" s="205">
        <v>0</v>
      </c>
    </row>
    <row r="1272" spans="6:7" ht="11.25">
      <c r="F1272" s="205">
        <v>0</v>
      </c>
      <c r="G1272" s="205">
        <v>0</v>
      </c>
    </row>
    <row r="1273" spans="6:7" ht="11.25">
      <c r="F1273" s="205">
        <v>0</v>
      </c>
      <c r="G1273" s="205">
        <v>0</v>
      </c>
    </row>
    <row r="1274" spans="6:7" ht="11.25">
      <c r="F1274" s="205">
        <v>0</v>
      </c>
      <c r="G1274" s="205">
        <v>0</v>
      </c>
    </row>
    <row r="1275" spans="6:7" ht="11.25">
      <c r="F1275" s="205">
        <v>0</v>
      </c>
      <c r="G1275" s="205">
        <v>0</v>
      </c>
    </row>
    <row r="1276" spans="6:7" ht="11.25">
      <c r="F1276" s="205">
        <v>0</v>
      </c>
      <c r="G1276" s="205">
        <v>0</v>
      </c>
    </row>
    <row r="1277" spans="6:7" ht="11.25">
      <c r="F1277" s="205">
        <v>0</v>
      </c>
      <c r="G1277" s="205">
        <v>0</v>
      </c>
    </row>
    <row r="1278" spans="6:7" ht="11.25">
      <c r="F1278" s="205">
        <v>0</v>
      </c>
      <c r="G1278" s="205">
        <v>0</v>
      </c>
    </row>
    <row r="1279" spans="6:7" ht="11.25">
      <c r="F1279" s="205">
        <v>0</v>
      </c>
      <c r="G1279" s="205">
        <v>0</v>
      </c>
    </row>
    <row r="1280" spans="6:7" ht="11.25">
      <c r="F1280" s="205">
        <v>0</v>
      </c>
      <c r="G1280" s="205">
        <v>0</v>
      </c>
    </row>
    <row r="1281" spans="6:9" ht="11.25">
      <c r="F1281" s="205">
        <v>0</v>
      </c>
      <c r="G1281" s="205">
        <v>0</v>
      </c>
      <c r="H1281" s="177"/>
      <c r="I1281" s="177"/>
    </row>
    <row r="1282" spans="6:7" ht="11.25">
      <c r="F1282" s="205">
        <v>0</v>
      </c>
      <c r="G1282" s="205">
        <v>0</v>
      </c>
    </row>
    <row r="1283" spans="6:7" ht="11.25">
      <c r="F1283" s="205">
        <v>0</v>
      </c>
      <c r="G1283" s="205">
        <v>0</v>
      </c>
    </row>
    <row r="1284" spans="6:7" ht="11.25">
      <c r="F1284" s="205">
        <v>0</v>
      </c>
      <c r="G1284" s="205">
        <v>0</v>
      </c>
    </row>
    <row r="1285" spans="6:7" ht="11.25">
      <c r="F1285" s="205">
        <v>0</v>
      </c>
      <c r="G1285" s="205">
        <v>0</v>
      </c>
    </row>
    <row r="1286" spans="6:7" ht="11.25">
      <c r="F1286" s="205">
        <v>0</v>
      </c>
      <c r="G1286" s="205">
        <v>0</v>
      </c>
    </row>
    <row r="1287" spans="6:7" ht="11.25">
      <c r="F1287" s="205">
        <v>0</v>
      </c>
      <c r="G1287" s="205">
        <v>0</v>
      </c>
    </row>
    <row r="1288" spans="6:7" ht="11.25">
      <c r="F1288" s="205">
        <v>0</v>
      </c>
      <c r="G1288" s="205">
        <v>0</v>
      </c>
    </row>
    <row r="1289" spans="6:7" ht="11.25">
      <c r="F1289" s="205">
        <v>0</v>
      </c>
      <c r="G1289" s="205">
        <v>0</v>
      </c>
    </row>
    <row r="1290" spans="6:7" ht="11.25">
      <c r="F1290" s="205">
        <v>0</v>
      </c>
      <c r="G1290" s="205">
        <v>0</v>
      </c>
    </row>
    <row r="1291" spans="6:7" ht="11.25">
      <c r="F1291" s="205">
        <v>0</v>
      </c>
      <c r="G1291" s="205">
        <v>0</v>
      </c>
    </row>
    <row r="1292" spans="6:7" ht="11.25">
      <c r="F1292" s="205">
        <v>0</v>
      </c>
      <c r="G1292" s="205">
        <v>0</v>
      </c>
    </row>
    <row r="1293" spans="6:7" ht="11.25">
      <c r="F1293" s="205">
        <v>0</v>
      </c>
      <c r="G1293" s="205">
        <v>0</v>
      </c>
    </row>
    <row r="1296" spans="6:7" ht="11.25">
      <c r="F1296" s="177"/>
      <c r="G1296" s="177"/>
    </row>
    <row r="1297" spans="6:7" ht="11.25">
      <c r="F1297" s="177"/>
      <c r="G1297" s="177"/>
    </row>
    <row r="1300" spans="8:9" ht="11.25">
      <c r="H1300" s="177"/>
      <c r="I1300" s="177"/>
    </row>
    <row r="1301" spans="8:9" ht="11.25">
      <c r="H1301" s="177"/>
      <c r="I1301" s="177"/>
    </row>
    <row r="1302" spans="6:7" ht="11.25">
      <c r="F1302" s="177"/>
      <c r="G1302" s="177"/>
    </row>
    <row r="1306" spans="8:9" ht="11.25">
      <c r="H1306" s="177"/>
      <c r="I1306" s="177"/>
    </row>
    <row r="1308" spans="6:7" ht="11.25">
      <c r="F1308" s="177"/>
      <c r="G1308" s="177"/>
    </row>
    <row r="1312" spans="8:9" ht="11.25">
      <c r="H1312" s="177"/>
      <c r="I1312" s="177"/>
    </row>
    <row r="1313" spans="6:7" ht="11.25">
      <c r="F1313" s="177"/>
      <c r="G1313" s="177"/>
    </row>
    <row r="1317" spans="8:9" ht="11.25">
      <c r="H1317" s="177"/>
      <c r="I1317" s="177"/>
    </row>
    <row r="1319" spans="6:7" ht="11.25">
      <c r="F1319" s="177"/>
      <c r="G1319" s="177"/>
    </row>
    <row r="1320" spans="6:7" ht="11.25">
      <c r="F1320" s="177"/>
      <c r="G1320" s="177"/>
    </row>
    <row r="1323" spans="8:9" ht="11.25">
      <c r="H1323" s="177"/>
      <c r="I1323" s="177"/>
    </row>
    <row r="1324" spans="8:9" ht="11.25">
      <c r="H1324" s="177"/>
      <c r="I1324" s="177"/>
    </row>
    <row r="1325" spans="6:7" ht="11.25">
      <c r="F1325" s="177"/>
      <c r="G1325" s="177"/>
    </row>
    <row r="1329" spans="8:9" ht="11.25">
      <c r="H1329" s="177"/>
      <c r="I1329" s="177"/>
    </row>
    <row r="1330" spans="6:7" ht="11.25">
      <c r="F1330" s="177"/>
      <c r="G1330" s="177"/>
    </row>
    <row r="1334" spans="8:9" ht="11.25">
      <c r="H1334" s="177"/>
      <c r="I1334" s="177"/>
    </row>
    <row r="1335" spans="6:7" ht="11.25">
      <c r="F1335" s="177"/>
      <c r="G1335" s="177"/>
    </row>
    <row r="1336" spans="6:7" ht="11.25">
      <c r="F1336" s="177"/>
      <c r="G1336" s="177"/>
    </row>
    <row r="1338" spans="6:7" ht="11.25">
      <c r="F1338" s="177"/>
      <c r="G1338" s="177"/>
    </row>
    <row r="1339" spans="6:9" ht="11.25">
      <c r="F1339" s="177"/>
      <c r="G1339" s="177"/>
      <c r="H1339" s="177"/>
      <c r="I1339" s="177"/>
    </row>
    <row r="1340" spans="8:9" ht="11.25">
      <c r="H1340" s="177"/>
      <c r="I1340" s="177"/>
    </row>
    <row r="1341" spans="6:7" ht="11.25">
      <c r="F1341" s="177"/>
      <c r="G1341" s="177"/>
    </row>
    <row r="1342" spans="6:9" ht="11.25">
      <c r="F1342" s="177"/>
      <c r="G1342" s="177"/>
      <c r="H1342" s="177"/>
      <c r="I1342" s="177"/>
    </row>
    <row r="1343" spans="8:9" ht="11.25">
      <c r="H1343" s="177"/>
      <c r="I1343" s="177"/>
    </row>
    <row r="1344" spans="6:7" ht="11.25">
      <c r="F1344" s="206">
        <f>SUM(F11:F716)</f>
        <v>12080618111633.559</v>
      </c>
      <c r="G1344" s="206">
        <f>SUM(G11:G716)</f>
        <v>12080618111633.56</v>
      </c>
    </row>
    <row r="1345" spans="8:9" ht="11.25">
      <c r="H1345" s="177"/>
      <c r="I1345" s="177"/>
    </row>
    <row r="1346" spans="8:9" ht="11.25">
      <c r="H1346" s="177"/>
      <c r="I1346" s="177"/>
    </row>
  </sheetData>
  <sheetProtection password="8D25" sheet="1" formatCells="0" formatColumns="0" formatRows="0" insertColumns="0" insertRows="0" insertHyperlinks="0" deleteColumns="0" deleteRows="0" sort="0" autoFilter="0" pivotTables="0"/>
  <mergeCells count="24">
    <mergeCell ref="A908:D908"/>
    <mergeCell ref="A909:D909"/>
    <mergeCell ref="A910:D910"/>
    <mergeCell ref="A903:D903"/>
    <mergeCell ref="E903:H903"/>
    <mergeCell ref="L903:O903"/>
    <mergeCell ref="A904:D904"/>
    <mergeCell ref="E904:H904"/>
    <mergeCell ref="L904:O904"/>
    <mergeCell ref="J9:K9"/>
    <mergeCell ref="L9:M9"/>
    <mergeCell ref="N9:O9"/>
    <mergeCell ref="P9:P10"/>
    <mergeCell ref="A5:I5"/>
    <mergeCell ref="A6:I6"/>
    <mergeCell ref="C9:C10"/>
    <mergeCell ref="D9:D10"/>
    <mergeCell ref="E9:E10"/>
    <mergeCell ref="F9:G9"/>
    <mergeCell ref="H9:I9"/>
    <mergeCell ref="A1:I1"/>
    <mergeCell ref="A2:I2"/>
    <mergeCell ref="A3:I3"/>
    <mergeCell ref="A4:I4"/>
  </mergeCells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H925"/>
  <sheetViews>
    <sheetView workbookViewId="0" topLeftCell="A1">
      <selection activeCell="B24" sqref="B24"/>
    </sheetView>
  </sheetViews>
  <sheetFormatPr defaultColWidth="11.421875" defaultRowHeight="12.75"/>
  <cols>
    <col min="1" max="1" width="11.8515625" style="9" customWidth="1"/>
    <col min="2" max="2" width="37.28125" style="4" customWidth="1"/>
    <col min="3" max="3" width="14.7109375" style="11" customWidth="1"/>
    <col min="4" max="5" width="14.7109375" style="1" customWidth="1"/>
    <col min="6" max="8" width="14.7109375" style="2" customWidth="1"/>
    <col min="9" max="16384" width="11.421875" style="4" customWidth="1"/>
  </cols>
  <sheetData>
    <row r="1" spans="1:8" ht="12.75" customHeight="1">
      <c r="A1" s="289" t="s">
        <v>3424</v>
      </c>
      <c r="B1" s="289"/>
      <c r="C1" s="289"/>
      <c r="G1" s="290" t="s">
        <v>3425</v>
      </c>
      <c r="H1" s="290"/>
    </row>
    <row r="2" spans="1:8" ht="12.75">
      <c r="A2" s="289" t="s">
        <v>3426</v>
      </c>
      <c r="B2" s="289"/>
      <c r="C2" s="289"/>
      <c r="G2" s="5"/>
      <c r="H2" s="3" t="s">
        <v>3427</v>
      </c>
    </row>
    <row r="3" spans="1:8" ht="12">
      <c r="A3" s="289" t="s">
        <v>3428</v>
      </c>
      <c r="B3" s="289"/>
      <c r="C3" s="289"/>
      <c r="H3" s="268" t="s">
        <v>538</v>
      </c>
    </row>
    <row r="4" spans="1:3" ht="12">
      <c r="A4" s="289" t="s">
        <v>3429</v>
      </c>
      <c r="B4" s="289"/>
      <c r="C4" s="289"/>
    </row>
    <row r="5" spans="1:3" ht="12">
      <c r="A5" s="289" t="s">
        <v>3430</v>
      </c>
      <c r="B5" s="289"/>
      <c r="C5" s="289"/>
    </row>
    <row r="6" spans="1:3" ht="12">
      <c r="A6" s="289" t="s">
        <v>3431</v>
      </c>
      <c r="B6" s="289"/>
      <c r="C6" s="289"/>
    </row>
    <row r="7" spans="1:8" ht="24" customHeight="1">
      <c r="A7" s="6"/>
      <c r="B7" s="6"/>
      <c r="C7" s="7"/>
      <c r="D7" s="269" t="s">
        <v>3432</v>
      </c>
      <c r="E7" s="269"/>
      <c r="F7" s="269"/>
      <c r="G7" s="269"/>
      <c r="H7" s="269"/>
    </row>
    <row r="8" spans="1:2" ht="12.75" thickBot="1">
      <c r="A8" s="9">
        <v>15.71</v>
      </c>
      <c r="B8" s="10">
        <v>60.14</v>
      </c>
    </row>
    <row r="9" spans="1:8" ht="12.75" thickBot="1">
      <c r="A9" s="207" t="s">
        <v>3433</v>
      </c>
      <c r="B9" s="208"/>
      <c r="C9" s="296" t="s">
        <v>3434</v>
      </c>
      <c r="D9" s="298" t="s">
        <v>3435</v>
      </c>
      <c r="E9" s="299"/>
      <c r="F9" s="291" t="s">
        <v>3436</v>
      </c>
      <c r="G9" s="293" t="s">
        <v>3437</v>
      </c>
      <c r="H9" s="270" t="s">
        <v>3438</v>
      </c>
    </row>
    <row r="10" spans="1:8" ht="24.75" thickBot="1">
      <c r="A10" s="209" t="s">
        <v>3439</v>
      </c>
      <c r="B10" s="210" t="s">
        <v>3440</v>
      </c>
      <c r="C10" s="297"/>
      <c r="D10" s="246" t="s">
        <v>3441</v>
      </c>
      <c r="E10" s="247" t="s">
        <v>3442</v>
      </c>
      <c r="F10" s="292"/>
      <c r="G10" s="294"/>
      <c r="H10" s="295"/>
    </row>
    <row r="11" spans="1:8" s="15" customFormat="1" ht="12">
      <c r="A11" s="12">
        <v>100000</v>
      </c>
      <c r="B11" s="13" t="s">
        <v>3443</v>
      </c>
      <c r="C11" s="255">
        <f aca="true" t="shared" si="0" ref="C11:H11">+C12+C23+C36+C78+C145</f>
        <v>734025240</v>
      </c>
      <c r="D11" s="255">
        <f t="shared" si="0"/>
        <v>1552823631</v>
      </c>
      <c r="E11" s="255">
        <f t="shared" si="0"/>
        <v>1618675146</v>
      </c>
      <c r="F11" s="255">
        <f t="shared" si="0"/>
        <v>668173724</v>
      </c>
      <c r="G11" s="255">
        <f t="shared" si="0"/>
        <v>487083143</v>
      </c>
      <c r="H11" s="14">
        <f t="shared" si="0"/>
        <v>181090581</v>
      </c>
    </row>
    <row r="12" spans="1:8" s="15" customFormat="1" ht="12">
      <c r="A12" s="16">
        <v>110000</v>
      </c>
      <c r="B12" s="17" t="s">
        <v>3444</v>
      </c>
      <c r="C12" s="248">
        <f aca="true" t="shared" si="1" ref="C12:H12">+C13+C16+C20</f>
        <v>71541554</v>
      </c>
      <c r="D12" s="248">
        <f t="shared" si="1"/>
        <v>553472286</v>
      </c>
      <c r="E12" s="248">
        <f t="shared" si="1"/>
        <v>599726585</v>
      </c>
      <c r="F12" s="248">
        <f t="shared" si="1"/>
        <v>25287255</v>
      </c>
      <c r="G12" s="248">
        <f t="shared" si="1"/>
        <v>25287255</v>
      </c>
      <c r="H12" s="18">
        <f t="shared" si="1"/>
        <v>0</v>
      </c>
    </row>
    <row r="13" spans="1:8" s="15" customFormat="1" ht="12">
      <c r="A13" s="16">
        <v>110500</v>
      </c>
      <c r="B13" s="17" t="s">
        <v>3445</v>
      </c>
      <c r="C13" s="248">
        <f aca="true" t="shared" si="2" ref="C13:H13">+C14+C15</f>
        <v>115000</v>
      </c>
      <c r="D13" s="248">
        <f t="shared" si="2"/>
        <v>0</v>
      </c>
      <c r="E13" s="248">
        <f t="shared" si="2"/>
        <v>115000</v>
      </c>
      <c r="F13" s="248">
        <f t="shared" si="2"/>
        <v>0</v>
      </c>
      <c r="G13" s="248">
        <f t="shared" si="2"/>
        <v>0</v>
      </c>
      <c r="H13" s="18">
        <f t="shared" si="2"/>
        <v>0</v>
      </c>
    </row>
    <row r="14" spans="1:8" ht="12">
      <c r="A14" s="19">
        <v>110501</v>
      </c>
      <c r="B14" s="20" t="s">
        <v>3446</v>
      </c>
      <c r="C14" s="249">
        <v>0</v>
      </c>
      <c r="D14" s="250">
        <v>0</v>
      </c>
      <c r="E14" s="250">
        <v>0</v>
      </c>
      <c r="F14" s="251">
        <f>+C14+D14-E14</f>
        <v>0</v>
      </c>
      <c r="G14" s="251">
        <f>+F14</f>
        <v>0</v>
      </c>
      <c r="H14" s="256">
        <v>0</v>
      </c>
    </row>
    <row r="15" spans="1:8" ht="12">
      <c r="A15" s="19">
        <v>110502</v>
      </c>
      <c r="B15" s="20" t="s">
        <v>3447</v>
      </c>
      <c r="C15" s="249">
        <v>115000</v>
      </c>
      <c r="D15" s="250">
        <v>0</v>
      </c>
      <c r="E15" s="250">
        <f>110500+4500</f>
        <v>115000</v>
      </c>
      <c r="F15" s="251">
        <f>+C15+D15-E15</f>
        <v>0</v>
      </c>
      <c r="G15" s="251">
        <f>+F15</f>
        <v>0</v>
      </c>
      <c r="H15" s="256">
        <v>0</v>
      </c>
    </row>
    <row r="16" spans="1:8" s="15" customFormat="1" ht="12">
      <c r="A16" s="16">
        <v>111000</v>
      </c>
      <c r="B16" s="17" t="s">
        <v>3448</v>
      </c>
      <c r="C16" s="248">
        <f aca="true" t="shared" si="3" ref="C16:H16">+C17+C18+C19</f>
        <v>790430</v>
      </c>
      <c r="D16" s="248">
        <f t="shared" si="3"/>
        <v>273901378</v>
      </c>
      <c r="E16" s="248">
        <f t="shared" si="3"/>
        <v>274349562</v>
      </c>
      <c r="F16" s="248">
        <f t="shared" si="3"/>
        <v>342246</v>
      </c>
      <c r="G16" s="248">
        <f t="shared" si="3"/>
        <v>342246</v>
      </c>
      <c r="H16" s="18">
        <f t="shared" si="3"/>
        <v>0</v>
      </c>
    </row>
    <row r="17" spans="1:8" ht="12">
      <c r="A17" s="19">
        <v>111005</v>
      </c>
      <c r="B17" s="20" t="s">
        <v>3449</v>
      </c>
      <c r="C17" s="249">
        <v>790430</v>
      </c>
      <c r="D17" s="250">
        <f>273446113+455263+2</f>
        <v>273901378</v>
      </c>
      <c r="E17" s="250">
        <f>273928597+420964+1</f>
        <v>274349562</v>
      </c>
      <c r="F17" s="251">
        <f>+C17+D17-E17</f>
        <v>342246</v>
      </c>
      <c r="G17" s="251">
        <f>+F17</f>
        <v>342246</v>
      </c>
      <c r="H17" s="256">
        <v>0</v>
      </c>
    </row>
    <row r="18" spans="1:8" ht="12">
      <c r="A18" s="19">
        <v>111006</v>
      </c>
      <c r="B18" s="20" t="s">
        <v>3450</v>
      </c>
      <c r="C18" s="249">
        <v>0</v>
      </c>
      <c r="D18" s="250">
        <v>0</v>
      </c>
      <c r="E18" s="250">
        <v>0</v>
      </c>
      <c r="F18" s="251">
        <f>+C18+D18-E18</f>
        <v>0</v>
      </c>
      <c r="G18" s="251">
        <f>+F18</f>
        <v>0</v>
      </c>
      <c r="H18" s="256">
        <v>0</v>
      </c>
    </row>
    <row r="19" spans="1:8" ht="12">
      <c r="A19" s="19">
        <v>111090</v>
      </c>
      <c r="B19" s="20" t="s">
        <v>3451</v>
      </c>
      <c r="C19" s="249">
        <v>0</v>
      </c>
      <c r="D19" s="250">
        <v>0</v>
      </c>
      <c r="E19" s="250">
        <v>0</v>
      </c>
      <c r="F19" s="251">
        <f>+C19+D19-E19</f>
        <v>0</v>
      </c>
      <c r="G19" s="251">
        <f>+F19</f>
        <v>0</v>
      </c>
      <c r="H19" s="256">
        <v>0</v>
      </c>
    </row>
    <row r="20" spans="1:8" s="15" customFormat="1" ht="12">
      <c r="A20" s="16">
        <v>112500</v>
      </c>
      <c r="B20" s="21" t="s">
        <v>3452</v>
      </c>
      <c r="C20" s="248">
        <f aca="true" t="shared" si="4" ref="C20:H20">+C21+C22</f>
        <v>70636124</v>
      </c>
      <c r="D20" s="248">
        <f t="shared" si="4"/>
        <v>279570908</v>
      </c>
      <c r="E20" s="248">
        <f t="shared" si="4"/>
        <v>325262023</v>
      </c>
      <c r="F20" s="248">
        <f t="shared" si="4"/>
        <v>24945009</v>
      </c>
      <c r="G20" s="248">
        <f t="shared" si="4"/>
        <v>24945009</v>
      </c>
      <c r="H20" s="18">
        <f t="shared" si="4"/>
        <v>0</v>
      </c>
    </row>
    <row r="21" spans="1:8" ht="12">
      <c r="A21" s="19">
        <v>112504</v>
      </c>
      <c r="B21" s="20" t="s">
        <v>3453</v>
      </c>
      <c r="C21" s="249">
        <v>68910333</v>
      </c>
      <c r="D21" s="250">
        <v>278800803</v>
      </c>
      <c r="E21" s="250">
        <v>324805143</v>
      </c>
      <c r="F21" s="251">
        <f>+C21+D21-E21</f>
        <v>22905993</v>
      </c>
      <c r="G21" s="251">
        <f>+F21</f>
        <v>22905993</v>
      </c>
      <c r="H21" s="256">
        <v>0</v>
      </c>
    </row>
    <row r="22" spans="1:8" ht="12">
      <c r="A22" s="19">
        <v>112506</v>
      </c>
      <c r="B22" s="20" t="s">
        <v>3454</v>
      </c>
      <c r="C22" s="249">
        <v>1725791</v>
      </c>
      <c r="D22" s="250">
        <v>770105</v>
      </c>
      <c r="E22" s="250">
        <v>456880</v>
      </c>
      <c r="F22" s="251">
        <f>+C22+D22-E22</f>
        <v>2039016</v>
      </c>
      <c r="G22" s="251">
        <f>+F22</f>
        <v>2039016</v>
      </c>
      <c r="H22" s="256">
        <v>0</v>
      </c>
    </row>
    <row r="23" spans="1:8" s="15" customFormat="1" ht="12">
      <c r="A23" s="16">
        <v>120000</v>
      </c>
      <c r="B23" s="17" t="s">
        <v>3455</v>
      </c>
      <c r="C23" s="248">
        <f>+C24+C29+C31+C33</f>
        <v>10023901</v>
      </c>
      <c r="D23" s="251">
        <f>D24+D29+D31+D33</f>
        <v>224537856</v>
      </c>
      <c r="E23" s="251">
        <f>E24+E29+E31+E33</f>
        <v>11167093</v>
      </c>
      <c r="F23" s="251">
        <f>F24+F29+F31+F33</f>
        <v>223394664</v>
      </c>
      <c r="G23" s="251">
        <f>G24+G29+G31+G33</f>
        <v>223394664</v>
      </c>
      <c r="H23" s="256">
        <f>H24+H29+H31+H33</f>
        <v>0</v>
      </c>
    </row>
    <row r="24" spans="1:8" s="15" customFormat="1" ht="24">
      <c r="A24" s="16">
        <v>120100</v>
      </c>
      <c r="B24" s="17" t="s">
        <v>3456</v>
      </c>
      <c r="C24" s="248">
        <f>+C25+C26+C27+C28</f>
        <v>10023901</v>
      </c>
      <c r="D24" s="251">
        <f>SUM(D25:D28)</f>
        <v>224537856</v>
      </c>
      <c r="E24" s="251">
        <f>SUM(E25:E28)</f>
        <v>11167093</v>
      </c>
      <c r="F24" s="251">
        <f>SUM(F25:F28)</f>
        <v>223394664</v>
      </c>
      <c r="G24" s="251">
        <f>SUM(G25:G28)</f>
        <v>223394664</v>
      </c>
      <c r="H24" s="256">
        <f>SUM(H25:H28)</f>
        <v>0</v>
      </c>
    </row>
    <row r="25" spans="1:8" ht="12">
      <c r="A25" s="19">
        <v>120101</v>
      </c>
      <c r="B25" s="20" t="s">
        <v>3457</v>
      </c>
      <c r="C25" s="249">
        <v>6000380</v>
      </c>
      <c r="D25" s="250">
        <f>73849480+2</f>
        <v>73849482</v>
      </c>
      <c r="E25" s="250">
        <v>10246049</v>
      </c>
      <c r="F25" s="251">
        <f>+C25+D25-E25</f>
        <v>69603813</v>
      </c>
      <c r="G25" s="251">
        <f>+F25</f>
        <v>69603813</v>
      </c>
      <c r="H25" s="256">
        <v>0</v>
      </c>
    </row>
    <row r="26" spans="1:8" ht="12">
      <c r="A26" s="19">
        <v>120106</v>
      </c>
      <c r="B26" s="20" t="s">
        <v>3458</v>
      </c>
      <c r="C26" s="249">
        <v>4023521</v>
      </c>
      <c r="D26" s="250">
        <f>145163617+25290</f>
        <v>145188907</v>
      </c>
      <c r="E26" s="250">
        <f>921043+1</f>
        <v>921044</v>
      </c>
      <c r="F26" s="251">
        <f>+C26+D26-E26</f>
        <v>148291384</v>
      </c>
      <c r="G26" s="251">
        <f>+F26</f>
        <v>148291384</v>
      </c>
      <c r="H26" s="256">
        <v>0</v>
      </c>
    </row>
    <row r="27" spans="1:8" s="15" customFormat="1" ht="24">
      <c r="A27" s="19">
        <v>120115</v>
      </c>
      <c r="B27" s="20" t="s">
        <v>3459</v>
      </c>
      <c r="C27" s="249">
        <v>0</v>
      </c>
      <c r="D27" s="250">
        <v>5111087</v>
      </c>
      <c r="E27" s="250">
        <v>0</v>
      </c>
      <c r="F27" s="251">
        <f>+C27+D27-E27</f>
        <v>5111087</v>
      </c>
      <c r="G27" s="251">
        <f>+F27</f>
        <v>5111087</v>
      </c>
      <c r="H27" s="256">
        <v>0</v>
      </c>
    </row>
    <row r="28" spans="1:8" ht="12">
      <c r="A28" s="19">
        <v>120190</v>
      </c>
      <c r="B28" s="20" t="s">
        <v>3460</v>
      </c>
      <c r="C28" s="249">
        <v>0</v>
      </c>
      <c r="D28" s="250">
        <v>388380</v>
      </c>
      <c r="E28" s="250">
        <v>0</v>
      </c>
      <c r="F28" s="251">
        <f>+C28+D28-E28</f>
        <v>388380</v>
      </c>
      <c r="G28" s="251">
        <f>+F28</f>
        <v>388380</v>
      </c>
      <c r="H28" s="256">
        <v>0</v>
      </c>
    </row>
    <row r="29" spans="1:8" s="15" customFormat="1" ht="12">
      <c r="A29" s="16">
        <v>120200</v>
      </c>
      <c r="B29" s="17" t="s">
        <v>3461</v>
      </c>
      <c r="C29" s="248">
        <f>+C30</f>
        <v>0</v>
      </c>
      <c r="D29" s="251">
        <f>D30</f>
        <v>0</v>
      </c>
      <c r="E29" s="251">
        <f>E30</f>
        <v>0</v>
      </c>
      <c r="F29" s="251">
        <f>F30</f>
        <v>0</v>
      </c>
      <c r="G29" s="251">
        <f>G30</f>
        <v>0</v>
      </c>
      <c r="H29" s="256">
        <f>H30</f>
        <v>0</v>
      </c>
    </row>
    <row r="30" spans="1:8" ht="12">
      <c r="A30" s="19">
        <v>120290</v>
      </c>
      <c r="B30" s="20" t="s">
        <v>3462</v>
      </c>
      <c r="C30" s="249">
        <v>0</v>
      </c>
      <c r="D30" s="250">
        <v>0</v>
      </c>
      <c r="E30" s="250">
        <v>0</v>
      </c>
      <c r="F30" s="251">
        <f>+C30+D30-E30</f>
        <v>0</v>
      </c>
      <c r="G30" s="251">
        <f>+F30</f>
        <v>0</v>
      </c>
      <c r="H30" s="256">
        <v>0</v>
      </c>
    </row>
    <row r="31" spans="1:8" s="15" customFormat="1" ht="24">
      <c r="A31" s="16">
        <v>120700</v>
      </c>
      <c r="B31" s="17" t="s">
        <v>3463</v>
      </c>
      <c r="C31" s="248">
        <f>+C32</f>
        <v>0</v>
      </c>
      <c r="D31" s="251">
        <f>D32</f>
        <v>0</v>
      </c>
      <c r="E31" s="251">
        <f>E32</f>
        <v>0</v>
      </c>
      <c r="F31" s="251">
        <f>F32</f>
        <v>0</v>
      </c>
      <c r="G31" s="251">
        <f>G32</f>
        <v>0</v>
      </c>
      <c r="H31" s="256">
        <f>H32</f>
        <v>0</v>
      </c>
    </row>
    <row r="32" spans="1:8" ht="12">
      <c r="A32" s="19">
        <v>120751</v>
      </c>
      <c r="B32" s="20" t="s">
        <v>3464</v>
      </c>
      <c r="C32" s="249">
        <v>0</v>
      </c>
      <c r="D32" s="250">
        <v>0</v>
      </c>
      <c r="E32" s="250">
        <v>0</v>
      </c>
      <c r="F32" s="251">
        <f>+C32+D32-E32</f>
        <v>0</v>
      </c>
      <c r="G32" s="251">
        <f>+F32</f>
        <v>0</v>
      </c>
      <c r="H32" s="256">
        <v>0</v>
      </c>
    </row>
    <row r="33" spans="1:8" ht="24">
      <c r="A33" s="16">
        <v>120800</v>
      </c>
      <c r="B33" s="17" t="s">
        <v>3465</v>
      </c>
      <c r="C33" s="248">
        <f>+C34+C35</f>
        <v>0</v>
      </c>
      <c r="D33" s="251">
        <f>SUM(D34:D35)</f>
        <v>0</v>
      </c>
      <c r="E33" s="251">
        <f>SUM(E34:E35)</f>
        <v>0</v>
      </c>
      <c r="F33" s="251">
        <f>SUM(F34:F35)</f>
        <v>0</v>
      </c>
      <c r="G33" s="251">
        <f>SUM(G34:G35)</f>
        <v>0</v>
      </c>
      <c r="H33" s="256">
        <f>SUM(H34:H35)</f>
        <v>0</v>
      </c>
    </row>
    <row r="34" spans="1:8" s="15" customFormat="1" ht="12">
      <c r="A34" s="19">
        <v>120802</v>
      </c>
      <c r="B34" s="20" t="s">
        <v>3466</v>
      </c>
      <c r="C34" s="249">
        <v>0</v>
      </c>
      <c r="D34" s="250">
        <v>0</v>
      </c>
      <c r="E34" s="250">
        <v>0</v>
      </c>
      <c r="F34" s="251">
        <f>+C34+D34-E34</f>
        <v>0</v>
      </c>
      <c r="G34" s="251">
        <f>+F34</f>
        <v>0</v>
      </c>
      <c r="H34" s="256">
        <v>0</v>
      </c>
    </row>
    <row r="35" spans="1:8" s="15" customFormat="1" ht="12">
      <c r="A35" s="19">
        <v>120890</v>
      </c>
      <c r="B35" s="20" t="s">
        <v>3467</v>
      </c>
      <c r="C35" s="249">
        <v>0</v>
      </c>
      <c r="D35" s="250">
        <v>0</v>
      </c>
      <c r="E35" s="250">
        <v>0</v>
      </c>
      <c r="F35" s="251">
        <f>+C35+D35-E35</f>
        <v>0</v>
      </c>
      <c r="G35" s="251">
        <f>+F35</f>
        <v>0</v>
      </c>
      <c r="H35" s="256">
        <v>0</v>
      </c>
    </row>
    <row r="36" spans="1:8" ht="12">
      <c r="A36" s="16">
        <v>140000</v>
      </c>
      <c r="B36" s="17" t="s">
        <v>3468</v>
      </c>
      <c r="C36" s="248">
        <f aca="true" t="shared" si="5" ref="C36:H36">+C37+C42+C46+C49+C51+C54+C60+C63+C66+C73</f>
        <v>509843233</v>
      </c>
      <c r="D36" s="248">
        <f t="shared" si="5"/>
        <v>482649881</v>
      </c>
      <c r="E36" s="248">
        <f t="shared" si="5"/>
        <v>754091890</v>
      </c>
      <c r="F36" s="248">
        <f t="shared" si="5"/>
        <v>238401224</v>
      </c>
      <c r="G36" s="248">
        <f t="shared" si="5"/>
        <v>238401224</v>
      </c>
      <c r="H36" s="18">
        <f t="shared" si="5"/>
        <v>0</v>
      </c>
    </row>
    <row r="37" spans="1:8" ht="12">
      <c r="A37" s="16">
        <v>140100</v>
      </c>
      <c r="B37" s="21" t="s">
        <v>3469</v>
      </c>
      <c r="C37" s="248">
        <f aca="true" t="shared" si="6" ref="C37:H37">+C38+C39+C40+C41</f>
        <v>0</v>
      </c>
      <c r="D37" s="248">
        <f t="shared" si="6"/>
        <v>378573</v>
      </c>
      <c r="E37" s="248">
        <f t="shared" si="6"/>
        <v>378573</v>
      </c>
      <c r="F37" s="248">
        <f t="shared" si="6"/>
        <v>0</v>
      </c>
      <c r="G37" s="248">
        <f t="shared" si="6"/>
        <v>0</v>
      </c>
      <c r="H37" s="18">
        <f t="shared" si="6"/>
        <v>0</v>
      </c>
    </row>
    <row r="38" spans="1:8" ht="12">
      <c r="A38" s="19">
        <v>140101</v>
      </c>
      <c r="B38" s="22" t="s">
        <v>3470</v>
      </c>
      <c r="C38" s="249">
        <v>0</v>
      </c>
      <c r="D38" s="250">
        <v>213316</v>
      </c>
      <c r="E38" s="250">
        <v>213316</v>
      </c>
      <c r="F38" s="251">
        <f>+C38+D38-E38</f>
        <v>0</v>
      </c>
      <c r="G38" s="251">
        <f>+F38</f>
        <v>0</v>
      </c>
      <c r="H38" s="256">
        <v>0</v>
      </c>
    </row>
    <row r="39" spans="1:8" ht="12">
      <c r="A39" s="19">
        <v>140102</v>
      </c>
      <c r="B39" s="22" t="s">
        <v>3471</v>
      </c>
      <c r="C39" s="249">
        <v>0</v>
      </c>
      <c r="D39" s="250">
        <v>136</v>
      </c>
      <c r="E39" s="250">
        <v>136</v>
      </c>
      <c r="F39" s="251">
        <f>+C39+D39-E39</f>
        <v>0</v>
      </c>
      <c r="G39" s="251">
        <f>+F39</f>
        <v>0</v>
      </c>
      <c r="H39" s="256">
        <v>0</v>
      </c>
    </row>
    <row r="40" spans="1:8" s="15" customFormat="1" ht="12">
      <c r="A40" s="19">
        <v>140113</v>
      </c>
      <c r="B40" s="22" t="s">
        <v>3472</v>
      </c>
      <c r="C40" s="249">
        <v>0</v>
      </c>
      <c r="D40" s="250">
        <v>165121</v>
      </c>
      <c r="E40" s="250">
        <v>165121</v>
      </c>
      <c r="F40" s="251">
        <f>+C40+D40-E40</f>
        <v>0</v>
      </c>
      <c r="G40" s="251">
        <f>+F40</f>
        <v>0</v>
      </c>
      <c r="H40" s="256">
        <v>0</v>
      </c>
    </row>
    <row r="41" spans="1:8" ht="12">
      <c r="A41" s="19">
        <v>140190</v>
      </c>
      <c r="B41" s="20" t="s">
        <v>3473</v>
      </c>
      <c r="C41" s="249">
        <v>0</v>
      </c>
      <c r="D41" s="250">
        <v>0</v>
      </c>
      <c r="E41" s="250">
        <v>0</v>
      </c>
      <c r="F41" s="251">
        <f>+C41+D41-E41</f>
        <v>0</v>
      </c>
      <c r="G41" s="251">
        <f>+F41</f>
        <v>0</v>
      </c>
      <c r="H41" s="256">
        <v>0</v>
      </c>
    </row>
    <row r="42" spans="1:8" ht="12">
      <c r="A42" s="16">
        <v>140400</v>
      </c>
      <c r="B42" s="17" t="s">
        <v>3452</v>
      </c>
      <c r="C42" s="248">
        <f aca="true" t="shared" si="7" ref="C42:H42">+C43+C44+C45</f>
        <v>868472</v>
      </c>
      <c r="D42" s="248">
        <f t="shared" si="7"/>
        <v>61089650</v>
      </c>
      <c r="E42" s="248">
        <f t="shared" si="7"/>
        <v>59199270</v>
      </c>
      <c r="F42" s="248">
        <f t="shared" si="7"/>
        <v>2758852</v>
      </c>
      <c r="G42" s="248">
        <f t="shared" si="7"/>
        <v>2758852</v>
      </c>
      <c r="H42" s="18">
        <f t="shared" si="7"/>
        <v>0</v>
      </c>
    </row>
    <row r="43" spans="1:8" ht="12">
      <c r="A43" s="19">
        <v>140414</v>
      </c>
      <c r="B43" s="20" t="s">
        <v>3474</v>
      </c>
      <c r="C43" s="249">
        <v>868472</v>
      </c>
      <c r="D43" s="250">
        <v>59196324</v>
      </c>
      <c r="E43" s="250">
        <v>57305944</v>
      </c>
      <c r="F43" s="251">
        <f>+C43+D43-E43</f>
        <v>2758852</v>
      </c>
      <c r="G43" s="251">
        <f>+F43</f>
        <v>2758852</v>
      </c>
      <c r="H43" s="256">
        <v>0</v>
      </c>
    </row>
    <row r="44" spans="1:8" s="15" customFormat="1" ht="12">
      <c r="A44" s="19">
        <v>140415</v>
      </c>
      <c r="B44" s="20" t="s">
        <v>3475</v>
      </c>
      <c r="C44" s="249">
        <v>0</v>
      </c>
      <c r="D44" s="250">
        <v>0</v>
      </c>
      <c r="E44" s="250">
        <v>0</v>
      </c>
      <c r="F44" s="251">
        <f>+C44+D44-E44</f>
        <v>0</v>
      </c>
      <c r="G44" s="251">
        <f>+F44</f>
        <v>0</v>
      </c>
      <c r="H44" s="256">
        <v>0</v>
      </c>
    </row>
    <row r="45" spans="1:8" ht="24">
      <c r="A45" s="19">
        <v>140442</v>
      </c>
      <c r="B45" s="20" t="s">
        <v>3476</v>
      </c>
      <c r="C45" s="249">
        <v>0</v>
      </c>
      <c r="D45" s="250">
        <v>1893326</v>
      </c>
      <c r="E45" s="250">
        <v>1893326</v>
      </c>
      <c r="F45" s="251">
        <f>+C45+D45-E45</f>
        <v>0</v>
      </c>
      <c r="G45" s="251">
        <f>+F45</f>
        <v>0</v>
      </c>
      <c r="H45" s="256">
        <v>0</v>
      </c>
    </row>
    <row r="46" spans="1:8" ht="12">
      <c r="A46" s="16">
        <v>140700</v>
      </c>
      <c r="B46" s="17" t="s">
        <v>3477</v>
      </c>
      <c r="C46" s="248">
        <f aca="true" t="shared" si="8" ref="C46:H46">+C47+C48</f>
        <v>0</v>
      </c>
      <c r="D46" s="248">
        <f t="shared" si="8"/>
        <v>0</v>
      </c>
      <c r="E46" s="248">
        <f t="shared" si="8"/>
        <v>0</v>
      </c>
      <c r="F46" s="248">
        <f t="shared" si="8"/>
        <v>0</v>
      </c>
      <c r="G46" s="248">
        <f t="shared" si="8"/>
        <v>0</v>
      </c>
      <c r="H46" s="18">
        <f t="shared" si="8"/>
        <v>0</v>
      </c>
    </row>
    <row r="47" spans="1:8" s="15" customFormat="1" ht="12">
      <c r="A47" s="19">
        <v>140701</v>
      </c>
      <c r="B47" s="20" t="s">
        <v>3478</v>
      </c>
      <c r="C47" s="249">
        <v>0</v>
      </c>
      <c r="D47" s="250">
        <v>0</v>
      </c>
      <c r="E47" s="250">
        <v>0</v>
      </c>
      <c r="F47" s="251">
        <f>+C47+D47-E47</f>
        <v>0</v>
      </c>
      <c r="G47" s="251">
        <f>+F47</f>
        <v>0</v>
      </c>
      <c r="H47" s="256">
        <v>0</v>
      </c>
    </row>
    <row r="48" spans="1:8" ht="12">
      <c r="A48" s="19">
        <v>140790</v>
      </c>
      <c r="B48" s="20" t="s">
        <v>3479</v>
      </c>
      <c r="C48" s="249">
        <v>0</v>
      </c>
      <c r="D48" s="250">
        <v>0</v>
      </c>
      <c r="E48" s="250">
        <v>0</v>
      </c>
      <c r="F48" s="251">
        <f>+C48+D48-E48</f>
        <v>0</v>
      </c>
      <c r="G48" s="251">
        <f>+F48</f>
        <v>0</v>
      </c>
      <c r="H48" s="256">
        <v>0</v>
      </c>
    </row>
    <row r="49" spans="1:8" s="15" customFormat="1" ht="12">
      <c r="A49" s="16">
        <v>141300</v>
      </c>
      <c r="B49" s="17" t="s">
        <v>3480</v>
      </c>
      <c r="C49" s="248">
        <f>+C50</f>
        <v>0</v>
      </c>
      <c r="D49" s="251">
        <f>D50</f>
        <v>0</v>
      </c>
      <c r="E49" s="251">
        <f>E50</f>
        <v>0</v>
      </c>
      <c r="F49" s="251">
        <f>F50</f>
        <v>0</v>
      </c>
      <c r="G49" s="251">
        <f>G50</f>
        <v>0</v>
      </c>
      <c r="H49" s="256">
        <f>H50</f>
        <v>0</v>
      </c>
    </row>
    <row r="50" spans="1:8" ht="24">
      <c r="A50" s="19">
        <v>141303</v>
      </c>
      <c r="B50" s="20" t="s">
        <v>3481</v>
      </c>
      <c r="C50" s="249">
        <v>0</v>
      </c>
      <c r="D50" s="250">
        <v>0</v>
      </c>
      <c r="E50" s="250">
        <v>0</v>
      </c>
      <c r="F50" s="251">
        <f>+C50+D50-E50</f>
        <v>0</v>
      </c>
      <c r="G50" s="251">
        <f>+F50</f>
        <v>0</v>
      </c>
      <c r="H50" s="256">
        <v>0</v>
      </c>
    </row>
    <row r="51" spans="1:8" ht="12">
      <c r="A51" s="16">
        <v>141500</v>
      </c>
      <c r="B51" s="17" t="s">
        <v>3482</v>
      </c>
      <c r="C51" s="248">
        <f>+C52+C53</f>
        <v>0</v>
      </c>
      <c r="D51" s="251">
        <f>SUM(D52:D53)</f>
        <v>0</v>
      </c>
      <c r="E51" s="251">
        <f>SUM(E52:E53)</f>
        <v>0</v>
      </c>
      <c r="F51" s="251">
        <f>SUM(F52:F53)</f>
        <v>0</v>
      </c>
      <c r="G51" s="251">
        <f>SUM(G52:G53)</f>
        <v>0</v>
      </c>
      <c r="H51" s="256">
        <f>SUM(H52:H53)</f>
        <v>0</v>
      </c>
    </row>
    <row r="52" spans="1:8" s="15" customFormat="1" ht="12">
      <c r="A52" s="19">
        <v>141507</v>
      </c>
      <c r="B52" s="20" t="s">
        <v>3483</v>
      </c>
      <c r="C52" s="249">
        <v>0</v>
      </c>
      <c r="D52" s="250">
        <v>0</v>
      </c>
      <c r="E52" s="250">
        <v>0</v>
      </c>
      <c r="F52" s="251">
        <f>+C52+D52-E52</f>
        <v>0</v>
      </c>
      <c r="G52" s="251">
        <f>+F52</f>
        <v>0</v>
      </c>
      <c r="H52" s="256">
        <v>0</v>
      </c>
    </row>
    <row r="53" spans="1:8" ht="12">
      <c r="A53" s="19">
        <v>141590</v>
      </c>
      <c r="B53" s="20" t="s">
        <v>3484</v>
      </c>
      <c r="C53" s="249">
        <v>0</v>
      </c>
      <c r="D53" s="250">
        <v>0</v>
      </c>
      <c r="E53" s="250">
        <v>0</v>
      </c>
      <c r="F53" s="251">
        <f>+C53+D53-E53</f>
        <v>0</v>
      </c>
      <c r="G53" s="251">
        <f>+F53</f>
        <v>0</v>
      </c>
      <c r="H53" s="256">
        <v>0</v>
      </c>
    </row>
    <row r="54" spans="1:8" ht="12">
      <c r="A54" s="16">
        <v>142000</v>
      </c>
      <c r="B54" s="17" t="s">
        <v>3485</v>
      </c>
      <c r="C54" s="248">
        <f aca="true" t="shared" si="9" ref="C54:H54">+C55+C56+C57+C58+C59</f>
        <v>129000069</v>
      </c>
      <c r="D54" s="248">
        <f t="shared" si="9"/>
        <v>87062099</v>
      </c>
      <c r="E54" s="248">
        <f t="shared" si="9"/>
        <v>195639937</v>
      </c>
      <c r="F54" s="248">
        <f t="shared" si="9"/>
        <v>20422231</v>
      </c>
      <c r="G54" s="248">
        <f t="shared" si="9"/>
        <v>20422231</v>
      </c>
      <c r="H54" s="18">
        <f t="shared" si="9"/>
        <v>0</v>
      </c>
    </row>
    <row r="55" spans="1:8" ht="12">
      <c r="A55" s="19">
        <v>142003</v>
      </c>
      <c r="B55" s="20" t="s">
        <v>3486</v>
      </c>
      <c r="C55" s="249">
        <v>69057148</v>
      </c>
      <c r="D55" s="250">
        <v>15270622</v>
      </c>
      <c r="E55" s="250">
        <v>69621987</v>
      </c>
      <c r="F55" s="251">
        <f>+C55+D55-E55</f>
        <v>14705783</v>
      </c>
      <c r="G55" s="251">
        <f>+F55</f>
        <v>14705783</v>
      </c>
      <c r="H55" s="256">
        <v>0</v>
      </c>
    </row>
    <row r="56" spans="1:8" ht="12">
      <c r="A56" s="19">
        <v>142005</v>
      </c>
      <c r="B56" s="20" t="s">
        <v>3487</v>
      </c>
      <c r="C56" s="249">
        <v>59942921</v>
      </c>
      <c r="D56" s="250">
        <v>71791477</v>
      </c>
      <c r="E56" s="250">
        <v>126017950</v>
      </c>
      <c r="F56" s="251">
        <f>+C56+D56-E56</f>
        <v>5716448</v>
      </c>
      <c r="G56" s="251">
        <f>+F56</f>
        <v>5716448</v>
      </c>
      <c r="H56" s="256">
        <v>0</v>
      </c>
    </row>
    <row r="57" spans="1:8" ht="24">
      <c r="A57" s="19">
        <v>142012</v>
      </c>
      <c r="B57" s="20" t="s">
        <v>3488</v>
      </c>
      <c r="C57" s="249">
        <v>0</v>
      </c>
      <c r="D57" s="250">
        <v>0</v>
      </c>
      <c r="E57" s="250">
        <v>0</v>
      </c>
      <c r="F57" s="251">
        <f>+C57+D57-E57</f>
        <v>0</v>
      </c>
      <c r="G57" s="251">
        <f>+F57</f>
        <v>0</v>
      </c>
      <c r="H57" s="256">
        <v>0</v>
      </c>
    </row>
    <row r="58" spans="1:8" s="15" customFormat="1" ht="12">
      <c r="A58" s="19">
        <v>142013</v>
      </c>
      <c r="B58" s="20" t="s">
        <v>3489</v>
      </c>
      <c r="C58" s="249">
        <v>0</v>
      </c>
      <c r="D58" s="250">
        <v>0</v>
      </c>
      <c r="E58" s="250">
        <v>0</v>
      </c>
      <c r="F58" s="251">
        <f>+C58+D58-E58</f>
        <v>0</v>
      </c>
      <c r="G58" s="251">
        <f>+F58</f>
        <v>0</v>
      </c>
      <c r="H58" s="256">
        <v>0</v>
      </c>
    </row>
    <row r="59" spans="1:8" ht="12">
      <c r="A59" s="19">
        <v>142090</v>
      </c>
      <c r="B59" s="20" t="s">
        <v>3490</v>
      </c>
      <c r="C59" s="249">
        <v>0</v>
      </c>
      <c r="D59" s="250">
        <v>0</v>
      </c>
      <c r="E59" s="250">
        <v>0</v>
      </c>
      <c r="F59" s="251">
        <f>+C59+D59-E59</f>
        <v>0</v>
      </c>
      <c r="G59" s="251">
        <f>+F59</f>
        <v>0</v>
      </c>
      <c r="H59" s="256">
        <v>0</v>
      </c>
    </row>
    <row r="60" spans="1:8" ht="24">
      <c r="A60" s="16">
        <v>142200</v>
      </c>
      <c r="B60" s="17" t="s">
        <v>3491</v>
      </c>
      <c r="C60" s="248">
        <f>+C61+C62</f>
        <v>0</v>
      </c>
      <c r="D60" s="251">
        <f>SUM(D61:D62)</f>
        <v>0</v>
      </c>
      <c r="E60" s="251">
        <f>SUM(E61:E62)</f>
        <v>0</v>
      </c>
      <c r="F60" s="251">
        <f>SUM(F61:F62)</f>
        <v>0</v>
      </c>
      <c r="G60" s="251">
        <f>SUM(G61:G62)</f>
        <v>0</v>
      </c>
      <c r="H60" s="256">
        <f>SUM(H61:H62)</f>
        <v>0</v>
      </c>
    </row>
    <row r="61" spans="1:8" s="15" customFormat="1" ht="12">
      <c r="A61" s="19">
        <v>142204</v>
      </c>
      <c r="B61" s="20" t="s">
        <v>3492</v>
      </c>
      <c r="C61" s="249">
        <v>0</v>
      </c>
      <c r="D61" s="250">
        <v>0</v>
      </c>
      <c r="E61" s="250">
        <v>0</v>
      </c>
      <c r="F61" s="251">
        <f>+C61+D61-E61</f>
        <v>0</v>
      </c>
      <c r="G61" s="251">
        <f>+F61</f>
        <v>0</v>
      </c>
      <c r="H61" s="256">
        <v>0</v>
      </c>
    </row>
    <row r="62" spans="1:8" ht="12">
      <c r="A62" s="19">
        <v>142250</v>
      </c>
      <c r="B62" s="20" t="s">
        <v>3493</v>
      </c>
      <c r="C62" s="249">
        <v>0</v>
      </c>
      <c r="D62" s="250">
        <v>0</v>
      </c>
      <c r="E62" s="250">
        <v>0</v>
      </c>
      <c r="F62" s="251">
        <f>+C62+D62-E62</f>
        <v>0</v>
      </c>
      <c r="G62" s="251">
        <f>+F62</f>
        <v>0</v>
      </c>
      <c r="H62" s="256">
        <v>0</v>
      </c>
    </row>
    <row r="63" spans="1:8" ht="12">
      <c r="A63" s="16">
        <v>142500</v>
      </c>
      <c r="B63" s="17" t="s">
        <v>3494</v>
      </c>
      <c r="C63" s="248">
        <f aca="true" t="shared" si="10" ref="C63:H63">+C64+C65</f>
        <v>374467537</v>
      </c>
      <c r="D63" s="248">
        <f t="shared" si="10"/>
        <v>332640012</v>
      </c>
      <c r="E63" s="248">
        <f t="shared" si="10"/>
        <v>497371747</v>
      </c>
      <c r="F63" s="248">
        <f t="shared" si="10"/>
        <v>209735802</v>
      </c>
      <c r="G63" s="248">
        <f t="shared" si="10"/>
        <v>209735802</v>
      </c>
      <c r="H63" s="18">
        <f t="shared" si="10"/>
        <v>0</v>
      </c>
    </row>
    <row r="64" spans="1:8" s="15" customFormat="1" ht="12">
      <c r="A64" s="19">
        <v>142503</v>
      </c>
      <c r="B64" s="20" t="s">
        <v>3495</v>
      </c>
      <c r="C64" s="249">
        <v>103236220</v>
      </c>
      <c r="D64" s="250">
        <f>13487013+1</f>
        <v>13487014</v>
      </c>
      <c r="E64" s="250">
        <v>22774039</v>
      </c>
      <c r="F64" s="251">
        <f>+C64+D64-E64</f>
        <v>93949195</v>
      </c>
      <c r="G64" s="251">
        <f>+F64</f>
        <v>93949195</v>
      </c>
      <c r="H64" s="256">
        <v>0</v>
      </c>
    </row>
    <row r="65" spans="1:8" ht="12">
      <c r="A65" s="19">
        <v>142504</v>
      </c>
      <c r="B65" s="20" t="s">
        <v>3496</v>
      </c>
      <c r="C65" s="249">
        <v>271231317</v>
      </c>
      <c r="D65" s="250">
        <v>319152998</v>
      </c>
      <c r="E65" s="250">
        <v>474597708</v>
      </c>
      <c r="F65" s="251">
        <f>+C65+D65-E65</f>
        <v>115786607</v>
      </c>
      <c r="G65" s="251">
        <f>+F65</f>
        <v>115786607</v>
      </c>
      <c r="H65" s="256">
        <v>0</v>
      </c>
    </row>
    <row r="66" spans="1:8" ht="12">
      <c r="A66" s="16">
        <v>147000</v>
      </c>
      <c r="B66" s="17" t="s">
        <v>3497</v>
      </c>
      <c r="C66" s="248">
        <f aca="true" t="shared" si="11" ref="C66:H66">+C67+C68+C69+C70+C71+C72</f>
        <v>5507155</v>
      </c>
      <c r="D66" s="248">
        <f t="shared" si="11"/>
        <v>1479547</v>
      </c>
      <c r="E66" s="248">
        <f t="shared" si="11"/>
        <v>1502363</v>
      </c>
      <c r="F66" s="248">
        <f t="shared" si="11"/>
        <v>5484339</v>
      </c>
      <c r="G66" s="248">
        <f t="shared" si="11"/>
        <v>5484339</v>
      </c>
      <c r="H66" s="18">
        <f t="shared" si="11"/>
        <v>0</v>
      </c>
    </row>
    <row r="67" spans="1:8" ht="12">
      <c r="A67" s="19">
        <v>147002</v>
      </c>
      <c r="B67" s="20" t="s">
        <v>3498</v>
      </c>
      <c r="C67" s="249">
        <v>109615</v>
      </c>
      <c r="D67" s="250">
        <v>29497</v>
      </c>
      <c r="E67" s="250">
        <v>46957</v>
      </c>
      <c r="F67" s="251">
        <f aca="true" t="shared" si="12" ref="F67:F72">+C67+D67-E67</f>
        <v>92155</v>
      </c>
      <c r="G67" s="251">
        <f aca="true" t="shared" si="13" ref="G67:G72">+F67</f>
        <v>92155</v>
      </c>
      <c r="H67" s="256">
        <v>0</v>
      </c>
    </row>
    <row r="68" spans="1:8" ht="12">
      <c r="A68" s="19">
        <v>147006</v>
      </c>
      <c r="B68" s="20" t="s">
        <v>3499</v>
      </c>
      <c r="C68" s="249">
        <v>0</v>
      </c>
      <c r="D68" s="250">
        <v>0</v>
      </c>
      <c r="E68" s="250">
        <v>0</v>
      </c>
      <c r="F68" s="251">
        <f t="shared" si="12"/>
        <v>0</v>
      </c>
      <c r="G68" s="251">
        <f t="shared" si="13"/>
        <v>0</v>
      </c>
      <c r="H68" s="256">
        <v>0</v>
      </c>
    </row>
    <row r="69" spans="1:8" ht="12">
      <c r="A69" s="19">
        <v>147013</v>
      </c>
      <c r="B69" s="20" t="s">
        <v>3500</v>
      </c>
      <c r="C69" s="249">
        <v>100246</v>
      </c>
      <c r="D69" s="250">
        <v>0</v>
      </c>
      <c r="E69" s="250">
        <v>0</v>
      </c>
      <c r="F69" s="251">
        <f t="shared" si="12"/>
        <v>100246</v>
      </c>
      <c r="G69" s="251">
        <f t="shared" si="13"/>
        <v>100246</v>
      </c>
      <c r="H69" s="256">
        <v>0</v>
      </c>
    </row>
    <row r="70" spans="1:8" ht="24">
      <c r="A70" s="19">
        <v>147028</v>
      </c>
      <c r="B70" s="20" t="s">
        <v>3501</v>
      </c>
      <c r="C70" s="249">
        <v>3504</v>
      </c>
      <c r="D70" s="250">
        <v>42</v>
      </c>
      <c r="E70" s="250">
        <v>0</v>
      </c>
      <c r="F70" s="251">
        <f t="shared" si="12"/>
        <v>3546</v>
      </c>
      <c r="G70" s="251">
        <f t="shared" si="13"/>
        <v>3546</v>
      </c>
      <c r="H70" s="256">
        <v>0</v>
      </c>
    </row>
    <row r="71" spans="1:8" s="15" customFormat="1" ht="12">
      <c r="A71" s="19">
        <v>147064</v>
      </c>
      <c r="B71" s="20" t="s">
        <v>3502</v>
      </c>
      <c r="C71" s="249">
        <v>5398</v>
      </c>
      <c r="D71" s="250">
        <v>103</v>
      </c>
      <c r="E71" s="250">
        <v>5398</v>
      </c>
      <c r="F71" s="251">
        <f t="shared" si="12"/>
        <v>103</v>
      </c>
      <c r="G71" s="251">
        <f t="shared" si="13"/>
        <v>103</v>
      </c>
      <c r="H71" s="256">
        <v>0</v>
      </c>
    </row>
    <row r="72" spans="1:8" ht="12">
      <c r="A72" s="19">
        <v>147090</v>
      </c>
      <c r="B72" s="20" t="s">
        <v>3503</v>
      </c>
      <c r="C72" s="249">
        <v>5288392</v>
      </c>
      <c r="D72" s="250">
        <v>1449905</v>
      </c>
      <c r="E72" s="250">
        <f>1450007+1</f>
        <v>1450008</v>
      </c>
      <c r="F72" s="251">
        <f t="shared" si="12"/>
        <v>5288289</v>
      </c>
      <c r="G72" s="251">
        <f t="shared" si="13"/>
        <v>5288289</v>
      </c>
      <c r="H72" s="256">
        <v>0</v>
      </c>
    </row>
    <row r="73" spans="1:8" ht="12">
      <c r="A73" s="16">
        <v>148000</v>
      </c>
      <c r="B73" s="17" t="s">
        <v>3504</v>
      </c>
      <c r="C73" s="248">
        <f>+C74+C75+C76+C77</f>
        <v>0</v>
      </c>
      <c r="D73" s="251">
        <f>SUM(D74:D77)</f>
        <v>0</v>
      </c>
      <c r="E73" s="251">
        <f>SUM(E74:E77)</f>
        <v>0</v>
      </c>
      <c r="F73" s="251">
        <f>SUM(F74:F77)</f>
        <v>0</v>
      </c>
      <c r="G73" s="251">
        <f>SUM(G74:G77)</f>
        <v>0</v>
      </c>
      <c r="H73" s="256">
        <f>SUM(H74:H77)</f>
        <v>0</v>
      </c>
    </row>
    <row r="74" spans="1:8" ht="12">
      <c r="A74" s="19">
        <v>148006</v>
      </c>
      <c r="B74" s="20" t="s">
        <v>3505</v>
      </c>
      <c r="C74" s="249">
        <v>0</v>
      </c>
      <c r="D74" s="250">
        <v>0</v>
      </c>
      <c r="E74" s="250">
        <v>0</v>
      </c>
      <c r="F74" s="251">
        <f>+C74+D74-E74</f>
        <v>0</v>
      </c>
      <c r="G74" s="251">
        <f>+F74</f>
        <v>0</v>
      </c>
      <c r="H74" s="256">
        <v>0</v>
      </c>
    </row>
    <row r="75" spans="1:8" ht="12">
      <c r="A75" s="19">
        <v>148009</v>
      </c>
      <c r="B75" s="20" t="s">
        <v>3506</v>
      </c>
      <c r="C75" s="249">
        <v>0</v>
      </c>
      <c r="D75" s="250">
        <v>0</v>
      </c>
      <c r="E75" s="250">
        <v>0</v>
      </c>
      <c r="F75" s="251">
        <f>+C75+D75-E75</f>
        <v>0</v>
      </c>
      <c r="G75" s="251">
        <f>+F75</f>
        <v>0</v>
      </c>
      <c r="H75" s="256">
        <v>0</v>
      </c>
    </row>
    <row r="76" spans="1:8" s="15" customFormat="1" ht="12">
      <c r="A76" s="19">
        <v>148012</v>
      </c>
      <c r="B76" s="20" t="s">
        <v>3507</v>
      </c>
      <c r="C76" s="249">
        <v>0</v>
      </c>
      <c r="D76" s="250">
        <v>0</v>
      </c>
      <c r="E76" s="250">
        <v>0</v>
      </c>
      <c r="F76" s="251">
        <f>+C76+D76-E76</f>
        <v>0</v>
      </c>
      <c r="G76" s="251">
        <f>+F76</f>
        <v>0</v>
      </c>
      <c r="H76" s="256">
        <v>0</v>
      </c>
    </row>
    <row r="77" spans="1:8" s="15" customFormat="1" ht="12">
      <c r="A77" s="19">
        <v>148090</v>
      </c>
      <c r="B77" s="20" t="s">
        <v>3508</v>
      </c>
      <c r="C77" s="249">
        <v>0</v>
      </c>
      <c r="D77" s="250">
        <v>0</v>
      </c>
      <c r="E77" s="250">
        <v>0</v>
      </c>
      <c r="F77" s="251">
        <f>+C77+D77-E77</f>
        <v>0</v>
      </c>
      <c r="G77" s="251">
        <f>+F77</f>
        <v>0</v>
      </c>
      <c r="H77" s="256">
        <v>0</v>
      </c>
    </row>
    <row r="78" spans="1:8" ht="12">
      <c r="A78" s="16">
        <v>160000</v>
      </c>
      <c r="B78" s="17" t="s">
        <v>3509</v>
      </c>
      <c r="C78" s="248">
        <f aca="true" t="shared" si="14" ref="C78:H78">+C79+C82+C87+C89+C92+C100+C104+C114+C119+C124+C130+C133+C136</f>
        <v>12210130</v>
      </c>
      <c r="D78" s="248">
        <f t="shared" si="14"/>
        <v>13973249</v>
      </c>
      <c r="E78" s="248">
        <f t="shared" si="14"/>
        <v>14632931</v>
      </c>
      <c r="F78" s="248">
        <f t="shared" si="14"/>
        <v>11550448</v>
      </c>
      <c r="G78" s="248">
        <f t="shared" si="14"/>
        <v>0</v>
      </c>
      <c r="H78" s="18">
        <f t="shared" si="14"/>
        <v>11550448</v>
      </c>
    </row>
    <row r="79" spans="1:8" ht="12">
      <c r="A79" s="16">
        <v>160500</v>
      </c>
      <c r="B79" s="17" t="s">
        <v>3510</v>
      </c>
      <c r="C79" s="248">
        <f aca="true" t="shared" si="15" ref="C79:H79">+C80+C81</f>
        <v>5287997</v>
      </c>
      <c r="D79" s="248">
        <f t="shared" si="15"/>
        <v>0</v>
      </c>
      <c r="E79" s="248">
        <f t="shared" si="15"/>
        <v>845518</v>
      </c>
      <c r="F79" s="248">
        <f t="shared" si="15"/>
        <v>4442479</v>
      </c>
      <c r="G79" s="248">
        <f t="shared" si="15"/>
        <v>0</v>
      </c>
      <c r="H79" s="18">
        <f t="shared" si="15"/>
        <v>4442479</v>
      </c>
    </row>
    <row r="80" spans="1:8" s="15" customFormat="1" ht="12">
      <c r="A80" s="19">
        <v>160501</v>
      </c>
      <c r="B80" s="20" t="s">
        <v>3511</v>
      </c>
      <c r="C80" s="249">
        <v>4585430</v>
      </c>
      <c r="D80" s="250">
        <v>0</v>
      </c>
      <c r="E80" s="250">
        <v>142951</v>
      </c>
      <c r="F80" s="251">
        <f>+C80+D80-E80</f>
        <v>4442479</v>
      </c>
      <c r="G80" s="251">
        <v>0</v>
      </c>
      <c r="H80" s="256">
        <f>+F80</f>
        <v>4442479</v>
      </c>
    </row>
    <row r="81" spans="1:8" ht="12">
      <c r="A81" s="19">
        <v>160502</v>
      </c>
      <c r="B81" s="20" t="s">
        <v>3512</v>
      </c>
      <c r="C81" s="249">
        <v>702567</v>
      </c>
      <c r="D81" s="250">
        <v>0</v>
      </c>
      <c r="E81" s="250">
        <v>702567</v>
      </c>
      <c r="F81" s="251">
        <f>+C81+D81-E81</f>
        <v>0</v>
      </c>
      <c r="G81" s="251">
        <v>0</v>
      </c>
      <c r="H81" s="256">
        <f>+F81</f>
        <v>0</v>
      </c>
    </row>
    <row r="82" spans="1:8" ht="12">
      <c r="A82" s="16">
        <v>161500</v>
      </c>
      <c r="B82" s="17" t="s">
        <v>3513</v>
      </c>
      <c r="C82" s="248">
        <f aca="true" t="shared" si="16" ref="C82:H82">+C83+C84+C85+C86</f>
        <v>1200000</v>
      </c>
      <c r="D82" s="248">
        <f t="shared" si="16"/>
        <v>734332</v>
      </c>
      <c r="E82" s="248">
        <f t="shared" si="16"/>
        <v>0</v>
      </c>
      <c r="F82" s="248">
        <f t="shared" si="16"/>
        <v>1934332</v>
      </c>
      <c r="G82" s="248">
        <f t="shared" si="16"/>
        <v>0</v>
      </c>
      <c r="H82" s="18">
        <f t="shared" si="16"/>
        <v>1934332</v>
      </c>
    </row>
    <row r="83" spans="1:8" ht="12">
      <c r="A83" s="19">
        <v>161501</v>
      </c>
      <c r="B83" s="20" t="s">
        <v>3514</v>
      </c>
      <c r="C83" s="249">
        <v>0</v>
      </c>
      <c r="D83" s="250">
        <v>0</v>
      </c>
      <c r="E83" s="250">
        <v>0</v>
      </c>
      <c r="F83" s="251">
        <f>+C83+D83-E83</f>
        <v>0</v>
      </c>
      <c r="G83" s="251">
        <v>0</v>
      </c>
      <c r="H83" s="256">
        <f>+F83</f>
        <v>0</v>
      </c>
    </row>
    <row r="84" spans="1:8" ht="12">
      <c r="A84" s="19">
        <v>161502</v>
      </c>
      <c r="B84" s="20" t="s">
        <v>3515</v>
      </c>
      <c r="C84" s="249">
        <v>1200000</v>
      </c>
      <c r="D84" s="250">
        <v>734332</v>
      </c>
      <c r="E84" s="250">
        <v>0</v>
      </c>
      <c r="F84" s="251">
        <f>+C84+D84-E84</f>
        <v>1934332</v>
      </c>
      <c r="G84" s="251">
        <v>0</v>
      </c>
      <c r="H84" s="256">
        <f>+F84</f>
        <v>1934332</v>
      </c>
    </row>
    <row r="85" spans="1:8" s="15" customFormat="1" ht="12">
      <c r="A85" s="19">
        <v>161505</v>
      </c>
      <c r="B85" s="20" t="s">
        <v>3516</v>
      </c>
      <c r="C85" s="249">
        <v>0</v>
      </c>
      <c r="D85" s="250">
        <v>0</v>
      </c>
      <c r="E85" s="250">
        <v>0</v>
      </c>
      <c r="F85" s="251">
        <f>+C85+D85-E85</f>
        <v>0</v>
      </c>
      <c r="G85" s="251">
        <v>0</v>
      </c>
      <c r="H85" s="256">
        <f>+F85</f>
        <v>0</v>
      </c>
    </row>
    <row r="86" spans="1:8" ht="12">
      <c r="A86" s="19">
        <v>161590</v>
      </c>
      <c r="B86" s="20" t="s">
        <v>3517</v>
      </c>
      <c r="C86" s="249">
        <v>0</v>
      </c>
      <c r="D86" s="250">
        <v>0</v>
      </c>
      <c r="E86" s="250">
        <v>0</v>
      </c>
      <c r="F86" s="251">
        <f>+C86+D86-E86</f>
        <v>0</v>
      </c>
      <c r="G86" s="251">
        <v>0</v>
      </c>
      <c r="H86" s="256">
        <f>+F86</f>
        <v>0</v>
      </c>
    </row>
    <row r="87" spans="1:8" s="15" customFormat="1" ht="12">
      <c r="A87" s="16">
        <v>162000</v>
      </c>
      <c r="B87" s="17" t="s">
        <v>3518</v>
      </c>
      <c r="C87" s="248">
        <f>+C88</f>
        <v>0</v>
      </c>
      <c r="D87" s="251">
        <f>D88</f>
        <v>0</v>
      </c>
      <c r="E87" s="251">
        <f>E88</f>
        <v>0</v>
      </c>
      <c r="F87" s="251">
        <f>F88</f>
        <v>0</v>
      </c>
      <c r="G87" s="251">
        <f>G88</f>
        <v>0</v>
      </c>
      <c r="H87" s="256">
        <f>H88</f>
        <v>0</v>
      </c>
    </row>
    <row r="88" spans="1:8" ht="12">
      <c r="A88" s="19">
        <v>162005</v>
      </c>
      <c r="B88" s="20" t="s">
        <v>3519</v>
      </c>
      <c r="C88" s="249">
        <v>0</v>
      </c>
      <c r="D88" s="250">
        <v>0</v>
      </c>
      <c r="E88" s="250">
        <v>0</v>
      </c>
      <c r="F88" s="251">
        <f>+C88+D88-E88</f>
        <v>0</v>
      </c>
      <c r="G88" s="251">
        <v>0</v>
      </c>
      <c r="H88" s="256">
        <f>+F88</f>
        <v>0</v>
      </c>
    </row>
    <row r="89" spans="1:8" ht="24">
      <c r="A89" s="16">
        <v>162500</v>
      </c>
      <c r="B89" s="17" t="s">
        <v>3520</v>
      </c>
      <c r="C89" s="248">
        <f>+C90+C91</f>
        <v>0</v>
      </c>
      <c r="D89" s="251">
        <f>SUM(D90:D91)</f>
        <v>0</v>
      </c>
      <c r="E89" s="251">
        <f>SUM(E90:E91)</f>
        <v>0</v>
      </c>
      <c r="F89" s="251">
        <f>SUM(F90:F91)</f>
        <v>0</v>
      </c>
      <c r="G89" s="251">
        <f>SUM(G90:G91)</f>
        <v>0</v>
      </c>
      <c r="H89" s="256">
        <f>SUM(H90:H91)</f>
        <v>0</v>
      </c>
    </row>
    <row r="90" spans="1:8" s="15" customFormat="1" ht="12">
      <c r="A90" s="19">
        <v>162505</v>
      </c>
      <c r="B90" s="20" t="s">
        <v>3521</v>
      </c>
      <c r="C90" s="249">
        <v>0</v>
      </c>
      <c r="D90" s="250">
        <v>0</v>
      </c>
      <c r="E90" s="250">
        <v>0</v>
      </c>
      <c r="F90" s="251">
        <f>+C90+D90-E90</f>
        <v>0</v>
      </c>
      <c r="G90" s="251">
        <v>0</v>
      </c>
      <c r="H90" s="256">
        <f>+F90</f>
        <v>0</v>
      </c>
    </row>
    <row r="91" spans="1:8" ht="12">
      <c r="A91" s="19">
        <v>162507</v>
      </c>
      <c r="B91" s="20" t="s">
        <v>3522</v>
      </c>
      <c r="C91" s="249">
        <v>0</v>
      </c>
      <c r="D91" s="250">
        <v>0</v>
      </c>
      <c r="E91" s="250">
        <v>0</v>
      </c>
      <c r="F91" s="251">
        <f>+C91+D91-E91</f>
        <v>0</v>
      </c>
      <c r="G91" s="251">
        <v>0</v>
      </c>
      <c r="H91" s="256">
        <f>+F91</f>
        <v>0</v>
      </c>
    </row>
    <row r="92" spans="1:8" ht="12">
      <c r="A92" s="16">
        <v>163500</v>
      </c>
      <c r="B92" s="21" t="s">
        <v>3523</v>
      </c>
      <c r="C92" s="248">
        <f aca="true" t="shared" si="17" ref="C92:H92">+C93+C94+C95+C96+C97+C98+C99</f>
        <v>1074038</v>
      </c>
      <c r="D92" s="248">
        <f t="shared" si="17"/>
        <v>1184840</v>
      </c>
      <c r="E92" s="248">
        <f t="shared" si="17"/>
        <v>1063723</v>
      </c>
      <c r="F92" s="248">
        <f t="shared" si="17"/>
        <v>1195155</v>
      </c>
      <c r="G92" s="248">
        <f t="shared" si="17"/>
        <v>0</v>
      </c>
      <c r="H92" s="18">
        <f t="shared" si="17"/>
        <v>1195155</v>
      </c>
    </row>
    <row r="93" spans="1:8" ht="12">
      <c r="A93" s="19">
        <v>163501</v>
      </c>
      <c r="B93" s="20" t="s">
        <v>3524</v>
      </c>
      <c r="C93" s="249">
        <v>0</v>
      </c>
      <c r="D93" s="250">
        <v>0</v>
      </c>
      <c r="E93" s="250">
        <v>0</v>
      </c>
      <c r="F93" s="251">
        <f aca="true" t="shared" si="18" ref="F93:F99">+C93+D93-E93</f>
        <v>0</v>
      </c>
      <c r="G93" s="251">
        <v>0</v>
      </c>
      <c r="H93" s="256">
        <f aca="true" t="shared" si="19" ref="H93:H99">+F93</f>
        <v>0</v>
      </c>
    </row>
    <row r="94" spans="1:8" ht="12">
      <c r="A94" s="19">
        <v>163502</v>
      </c>
      <c r="B94" s="20" t="s">
        <v>3525</v>
      </c>
      <c r="C94" s="249">
        <v>0</v>
      </c>
      <c r="D94" s="250">
        <v>0</v>
      </c>
      <c r="E94" s="250">
        <v>0</v>
      </c>
      <c r="F94" s="251">
        <f t="shared" si="18"/>
        <v>0</v>
      </c>
      <c r="G94" s="251">
        <v>0</v>
      </c>
      <c r="H94" s="256">
        <f t="shared" si="19"/>
        <v>0</v>
      </c>
    </row>
    <row r="95" spans="1:8" ht="12">
      <c r="A95" s="19">
        <v>163503</v>
      </c>
      <c r="B95" s="20" t="s">
        <v>3522</v>
      </c>
      <c r="C95" s="249">
        <v>6056</v>
      </c>
      <c r="D95" s="250">
        <f>10316-2</f>
        <v>10314</v>
      </c>
      <c r="E95" s="250">
        <v>628</v>
      </c>
      <c r="F95" s="251">
        <f t="shared" si="18"/>
        <v>15742</v>
      </c>
      <c r="G95" s="251">
        <v>0</v>
      </c>
      <c r="H95" s="256">
        <f t="shared" si="19"/>
        <v>15742</v>
      </c>
    </row>
    <row r="96" spans="1:8" ht="12">
      <c r="A96" s="19">
        <v>163504</v>
      </c>
      <c r="B96" s="22" t="s">
        <v>3521</v>
      </c>
      <c r="C96" s="249">
        <v>1037862</v>
      </c>
      <c r="D96" s="250">
        <f>1174525+1</f>
        <v>1174526</v>
      </c>
      <c r="E96" s="250">
        <v>1062845</v>
      </c>
      <c r="F96" s="251">
        <f t="shared" si="18"/>
        <v>1149543</v>
      </c>
      <c r="G96" s="251">
        <v>0</v>
      </c>
      <c r="H96" s="256">
        <f t="shared" si="19"/>
        <v>1149543</v>
      </c>
    </row>
    <row r="97" spans="1:8" ht="12">
      <c r="A97" s="19">
        <v>163505</v>
      </c>
      <c r="B97" s="22" t="s">
        <v>3526</v>
      </c>
      <c r="C97" s="249">
        <v>29120</v>
      </c>
      <c r="D97" s="250">
        <v>0</v>
      </c>
      <c r="E97" s="250">
        <v>0</v>
      </c>
      <c r="F97" s="251">
        <f t="shared" si="18"/>
        <v>29120</v>
      </c>
      <c r="G97" s="251">
        <v>0</v>
      </c>
      <c r="H97" s="256">
        <f t="shared" si="19"/>
        <v>29120</v>
      </c>
    </row>
    <row r="98" spans="1:8" s="15" customFormat="1" ht="24">
      <c r="A98" s="19">
        <v>163511</v>
      </c>
      <c r="B98" s="23" t="s">
        <v>3527</v>
      </c>
      <c r="C98" s="95">
        <v>1000</v>
      </c>
      <c r="D98" s="250">
        <v>0</v>
      </c>
      <c r="E98" s="250">
        <v>250</v>
      </c>
      <c r="F98" s="251">
        <f t="shared" si="18"/>
        <v>750</v>
      </c>
      <c r="G98" s="251">
        <v>0</v>
      </c>
      <c r="H98" s="256">
        <f t="shared" si="19"/>
        <v>750</v>
      </c>
    </row>
    <row r="99" spans="1:8" ht="12">
      <c r="A99" s="19">
        <v>163599</v>
      </c>
      <c r="B99" s="23" t="s">
        <v>3528</v>
      </c>
      <c r="C99" s="95">
        <v>0</v>
      </c>
      <c r="D99" s="250">
        <v>0</v>
      </c>
      <c r="E99" s="250">
        <v>0</v>
      </c>
      <c r="F99" s="251">
        <f t="shared" si="18"/>
        <v>0</v>
      </c>
      <c r="G99" s="251">
        <v>0</v>
      </c>
      <c r="H99" s="256">
        <f t="shared" si="19"/>
        <v>0</v>
      </c>
    </row>
    <row r="100" spans="1:8" ht="12">
      <c r="A100" s="16">
        <v>164000</v>
      </c>
      <c r="B100" s="24" t="s">
        <v>3529</v>
      </c>
      <c r="C100" s="91">
        <f aca="true" t="shared" si="20" ref="C100:H100">+C101+C102+C103</f>
        <v>5752665</v>
      </c>
      <c r="D100" s="91">
        <f t="shared" si="20"/>
        <v>0</v>
      </c>
      <c r="E100" s="91">
        <f t="shared" si="20"/>
        <v>682552</v>
      </c>
      <c r="F100" s="91">
        <f t="shared" si="20"/>
        <v>5070113</v>
      </c>
      <c r="G100" s="91">
        <f t="shared" si="20"/>
        <v>0</v>
      </c>
      <c r="H100" s="25">
        <f t="shared" si="20"/>
        <v>5070113</v>
      </c>
    </row>
    <row r="101" spans="1:8" ht="12">
      <c r="A101" s="19">
        <v>164001</v>
      </c>
      <c r="B101" s="26" t="s">
        <v>3530</v>
      </c>
      <c r="C101" s="95">
        <v>5752665</v>
      </c>
      <c r="D101" s="250">
        <v>0</v>
      </c>
      <c r="E101" s="250">
        <f>682551+1</f>
        <v>682552</v>
      </c>
      <c r="F101" s="251">
        <f>+C101+D101-E101</f>
        <v>5070113</v>
      </c>
      <c r="G101" s="251">
        <v>0</v>
      </c>
      <c r="H101" s="256">
        <f>+F101</f>
        <v>5070113</v>
      </c>
    </row>
    <row r="102" spans="1:8" s="15" customFormat="1" ht="12">
      <c r="A102" s="19">
        <v>164002</v>
      </c>
      <c r="B102" s="26" t="s">
        <v>3531</v>
      </c>
      <c r="C102" s="95">
        <v>0</v>
      </c>
      <c r="D102" s="250">
        <v>0</v>
      </c>
      <c r="E102" s="250">
        <v>0</v>
      </c>
      <c r="F102" s="251">
        <f>+C102+D102-E102</f>
        <v>0</v>
      </c>
      <c r="G102" s="251">
        <v>0</v>
      </c>
      <c r="H102" s="256">
        <f>+F102</f>
        <v>0</v>
      </c>
    </row>
    <row r="103" spans="1:8" ht="12">
      <c r="A103" s="19">
        <v>164099</v>
      </c>
      <c r="B103" s="23" t="s">
        <v>3528</v>
      </c>
      <c r="C103" s="95">
        <v>0</v>
      </c>
      <c r="D103" s="250">
        <v>0</v>
      </c>
      <c r="E103" s="250">
        <v>0</v>
      </c>
      <c r="F103" s="251">
        <f>+C103+D103-E103</f>
        <v>0</v>
      </c>
      <c r="G103" s="251">
        <v>0</v>
      </c>
      <c r="H103" s="256">
        <f>+F103</f>
        <v>0</v>
      </c>
    </row>
    <row r="104" spans="1:8" ht="12">
      <c r="A104" s="16">
        <v>165500</v>
      </c>
      <c r="B104" s="24" t="s">
        <v>3532</v>
      </c>
      <c r="C104" s="91">
        <f aca="true" t="shared" si="21" ref="C104:H104">+SUM(C105:C113)</f>
        <v>23319</v>
      </c>
      <c r="D104" s="91">
        <f t="shared" si="21"/>
        <v>0</v>
      </c>
      <c r="E104" s="91">
        <f t="shared" si="21"/>
        <v>0</v>
      </c>
      <c r="F104" s="91">
        <f t="shared" si="21"/>
        <v>23319</v>
      </c>
      <c r="G104" s="91">
        <f t="shared" si="21"/>
        <v>0</v>
      </c>
      <c r="H104" s="25">
        <f t="shared" si="21"/>
        <v>23319</v>
      </c>
    </row>
    <row r="105" spans="1:8" ht="12">
      <c r="A105" s="19">
        <v>165501</v>
      </c>
      <c r="B105" s="23" t="s">
        <v>3533</v>
      </c>
      <c r="C105" s="95">
        <v>1788</v>
      </c>
      <c r="D105" s="250">
        <v>0</v>
      </c>
      <c r="E105" s="250">
        <v>0</v>
      </c>
      <c r="F105" s="251">
        <f aca="true" t="shared" si="22" ref="F105:F113">+C105+D105-E105</f>
        <v>1788</v>
      </c>
      <c r="G105" s="251">
        <v>0</v>
      </c>
      <c r="H105" s="256">
        <f aca="true" t="shared" si="23" ref="H105:H113">+F105</f>
        <v>1788</v>
      </c>
    </row>
    <row r="106" spans="1:8" ht="12">
      <c r="A106" s="19">
        <v>165504</v>
      </c>
      <c r="B106" s="23" t="s">
        <v>3534</v>
      </c>
      <c r="C106" s="95">
        <v>0</v>
      </c>
      <c r="D106" s="250">
        <v>0</v>
      </c>
      <c r="E106" s="250">
        <v>0</v>
      </c>
      <c r="F106" s="251">
        <f t="shared" si="22"/>
        <v>0</v>
      </c>
      <c r="G106" s="251">
        <v>0</v>
      </c>
      <c r="H106" s="256">
        <f t="shared" si="23"/>
        <v>0</v>
      </c>
    </row>
    <row r="107" spans="1:8" ht="12">
      <c r="A107" s="19">
        <v>165505</v>
      </c>
      <c r="B107" s="23" t="s">
        <v>3535</v>
      </c>
      <c r="C107" s="95">
        <v>5498</v>
      </c>
      <c r="D107" s="250">
        <v>0</v>
      </c>
      <c r="E107" s="250">
        <v>0</v>
      </c>
      <c r="F107" s="251">
        <f t="shared" si="22"/>
        <v>5498</v>
      </c>
      <c r="G107" s="251">
        <v>0</v>
      </c>
      <c r="H107" s="256">
        <f t="shared" si="23"/>
        <v>5498</v>
      </c>
    </row>
    <row r="108" spans="1:8" ht="12">
      <c r="A108" s="19">
        <v>165506</v>
      </c>
      <c r="B108" s="26" t="s">
        <v>3536</v>
      </c>
      <c r="C108" s="95">
        <v>5516</v>
      </c>
      <c r="D108" s="250">
        <v>0</v>
      </c>
      <c r="E108" s="250">
        <v>0</v>
      </c>
      <c r="F108" s="251">
        <f t="shared" si="22"/>
        <v>5516</v>
      </c>
      <c r="G108" s="251">
        <v>0</v>
      </c>
      <c r="H108" s="256">
        <f t="shared" si="23"/>
        <v>5516</v>
      </c>
    </row>
    <row r="109" spans="1:8" ht="12">
      <c r="A109" s="19">
        <v>165509</v>
      </c>
      <c r="B109" s="26" t="s">
        <v>3537</v>
      </c>
      <c r="C109" s="95">
        <v>0</v>
      </c>
      <c r="D109" s="250">
        <v>0</v>
      </c>
      <c r="E109" s="250">
        <v>0</v>
      </c>
      <c r="F109" s="251">
        <f t="shared" si="22"/>
        <v>0</v>
      </c>
      <c r="G109" s="251">
        <v>0</v>
      </c>
      <c r="H109" s="256">
        <f t="shared" si="23"/>
        <v>0</v>
      </c>
    </row>
    <row r="110" spans="1:8" ht="12">
      <c r="A110" s="19">
        <v>165510</v>
      </c>
      <c r="B110" s="23" t="s">
        <v>3538</v>
      </c>
      <c r="C110" s="95">
        <v>3812</v>
      </c>
      <c r="D110" s="250">
        <v>0</v>
      </c>
      <c r="E110" s="250">
        <v>0</v>
      </c>
      <c r="F110" s="251">
        <f t="shared" si="22"/>
        <v>3812</v>
      </c>
      <c r="G110" s="251">
        <v>0</v>
      </c>
      <c r="H110" s="256">
        <f t="shared" si="23"/>
        <v>3812</v>
      </c>
    </row>
    <row r="111" spans="1:8" ht="12">
      <c r="A111" s="19">
        <v>165511</v>
      </c>
      <c r="B111" s="23" t="s">
        <v>3539</v>
      </c>
      <c r="C111" s="95">
        <v>6705</v>
      </c>
      <c r="D111" s="250">
        <v>0</v>
      </c>
      <c r="E111" s="250">
        <v>0</v>
      </c>
      <c r="F111" s="251">
        <f t="shared" si="22"/>
        <v>6705</v>
      </c>
      <c r="G111" s="251">
        <v>0</v>
      </c>
      <c r="H111" s="256">
        <f t="shared" si="23"/>
        <v>6705</v>
      </c>
    </row>
    <row r="112" spans="1:8" s="15" customFormat="1" ht="12">
      <c r="A112" s="19">
        <v>165590</v>
      </c>
      <c r="B112" s="23" t="s">
        <v>3540</v>
      </c>
      <c r="C112" s="95">
        <v>0</v>
      </c>
      <c r="D112" s="250">
        <v>0</v>
      </c>
      <c r="E112" s="250">
        <v>0</v>
      </c>
      <c r="F112" s="251">
        <f t="shared" si="22"/>
        <v>0</v>
      </c>
      <c r="G112" s="251">
        <v>0</v>
      </c>
      <c r="H112" s="256">
        <f t="shared" si="23"/>
        <v>0</v>
      </c>
    </row>
    <row r="113" spans="1:8" ht="12">
      <c r="A113" s="19">
        <v>165599</v>
      </c>
      <c r="B113" s="23" t="s">
        <v>3528</v>
      </c>
      <c r="C113" s="95">
        <v>0</v>
      </c>
      <c r="D113" s="250">
        <v>0</v>
      </c>
      <c r="E113" s="250">
        <v>0</v>
      </c>
      <c r="F113" s="251">
        <f t="shared" si="22"/>
        <v>0</v>
      </c>
      <c r="G113" s="251">
        <v>0</v>
      </c>
      <c r="H113" s="256">
        <f t="shared" si="23"/>
        <v>0</v>
      </c>
    </row>
    <row r="114" spans="1:8" ht="12">
      <c r="A114" s="16">
        <v>166000</v>
      </c>
      <c r="B114" s="24" t="s">
        <v>3541</v>
      </c>
      <c r="C114" s="91">
        <f>+SUM(C115:C118)</f>
        <v>0</v>
      </c>
      <c r="D114" s="251">
        <f>SUM(D115:D118)</f>
        <v>0</v>
      </c>
      <c r="E114" s="251">
        <f>SUM(E115:E118)</f>
        <v>0</v>
      </c>
      <c r="F114" s="251">
        <f>SUM(F115:F118)</f>
        <v>0</v>
      </c>
      <c r="G114" s="251">
        <f>SUM(G115:G118)</f>
        <v>0</v>
      </c>
      <c r="H114" s="256">
        <f>SUM(H115:H118)</f>
        <v>0</v>
      </c>
    </row>
    <row r="115" spans="1:8" ht="12">
      <c r="A115" s="19">
        <v>166001</v>
      </c>
      <c r="B115" s="23" t="s">
        <v>3542</v>
      </c>
      <c r="C115" s="95">
        <v>0</v>
      </c>
      <c r="D115" s="250">
        <v>0</v>
      </c>
      <c r="E115" s="250">
        <v>0</v>
      </c>
      <c r="F115" s="251">
        <f>+C115+D115-E115</f>
        <v>0</v>
      </c>
      <c r="G115" s="251">
        <v>0</v>
      </c>
      <c r="H115" s="256">
        <f>+F115</f>
        <v>0</v>
      </c>
    </row>
    <row r="116" spans="1:8" ht="12">
      <c r="A116" s="19">
        <v>166002</v>
      </c>
      <c r="B116" s="23" t="s">
        <v>3543</v>
      </c>
      <c r="C116" s="95">
        <v>0</v>
      </c>
      <c r="D116" s="250">
        <v>0</v>
      </c>
      <c r="E116" s="250">
        <v>0</v>
      </c>
      <c r="F116" s="251">
        <f>+C116+D116-E116</f>
        <v>0</v>
      </c>
      <c r="G116" s="251">
        <v>0</v>
      </c>
      <c r="H116" s="256">
        <f>+F116</f>
        <v>0</v>
      </c>
    </row>
    <row r="117" spans="1:8" s="15" customFormat="1" ht="12">
      <c r="A117" s="19">
        <v>166003</v>
      </c>
      <c r="B117" s="23" t="s">
        <v>3544</v>
      </c>
      <c r="C117" s="95">
        <v>0</v>
      </c>
      <c r="D117" s="250">
        <v>0</v>
      </c>
      <c r="E117" s="250">
        <v>0</v>
      </c>
      <c r="F117" s="251">
        <f>+C117+D117-E117</f>
        <v>0</v>
      </c>
      <c r="G117" s="251">
        <v>0</v>
      </c>
      <c r="H117" s="256">
        <f>+F117</f>
        <v>0</v>
      </c>
    </row>
    <row r="118" spans="1:8" ht="12">
      <c r="A118" s="19">
        <v>166099</v>
      </c>
      <c r="B118" s="23" t="s">
        <v>3528</v>
      </c>
      <c r="C118" s="95">
        <v>0</v>
      </c>
      <c r="D118" s="250">
        <v>0</v>
      </c>
      <c r="E118" s="250">
        <v>0</v>
      </c>
      <c r="F118" s="251">
        <f>+C118+D118-E118</f>
        <v>0</v>
      </c>
      <c r="G118" s="251">
        <v>0</v>
      </c>
      <c r="H118" s="256">
        <f>+F118</f>
        <v>0</v>
      </c>
    </row>
    <row r="119" spans="1:8" ht="24">
      <c r="A119" s="16">
        <v>166500</v>
      </c>
      <c r="B119" s="24" t="s">
        <v>3545</v>
      </c>
      <c r="C119" s="91">
        <f aca="true" t="shared" si="24" ref="C119:H119">+SUM(C120:C123)</f>
        <v>1038623</v>
      </c>
      <c r="D119" s="91">
        <f t="shared" si="24"/>
        <v>3181610</v>
      </c>
      <c r="E119" s="91">
        <f t="shared" si="24"/>
        <v>3185045</v>
      </c>
      <c r="F119" s="91">
        <f t="shared" si="24"/>
        <v>1035188</v>
      </c>
      <c r="G119" s="91">
        <f t="shared" si="24"/>
        <v>0</v>
      </c>
      <c r="H119" s="25">
        <f t="shared" si="24"/>
        <v>1035188</v>
      </c>
    </row>
    <row r="120" spans="1:8" ht="12">
      <c r="A120" s="19">
        <v>166501</v>
      </c>
      <c r="B120" s="20" t="s">
        <v>3546</v>
      </c>
      <c r="C120" s="249">
        <v>901859</v>
      </c>
      <c r="D120" s="250">
        <f>3117311+6086</f>
        <v>3123397</v>
      </c>
      <c r="E120" s="250">
        <f>3126472+1</f>
        <v>3126473</v>
      </c>
      <c r="F120" s="251">
        <f>+C120+D120-E120</f>
        <v>898783</v>
      </c>
      <c r="G120" s="251">
        <v>0</v>
      </c>
      <c r="H120" s="256">
        <f>+F120</f>
        <v>898783</v>
      </c>
    </row>
    <row r="121" spans="1:8" ht="12">
      <c r="A121" s="19">
        <v>166502</v>
      </c>
      <c r="B121" s="20" t="s">
        <v>3547</v>
      </c>
      <c r="C121" s="249">
        <v>136764</v>
      </c>
      <c r="D121" s="250">
        <f>58210+3</f>
        <v>58213</v>
      </c>
      <c r="E121" s="250">
        <v>58572</v>
      </c>
      <c r="F121" s="251">
        <f>+C121+D121-E121</f>
        <v>136405</v>
      </c>
      <c r="G121" s="251">
        <v>0</v>
      </c>
      <c r="H121" s="256">
        <f>+F121</f>
        <v>136405</v>
      </c>
    </row>
    <row r="122" spans="1:8" s="15" customFormat="1" ht="12">
      <c r="A122" s="19">
        <v>166590</v>
      </c>
      <c r="B122" s="20" t="s">
        <v>3548</v>
      </c>
      <c r="C122" s="249">
        <v>0</v>
      </c>
      <c r="D122" s="250">
        <v>0</v>
      </c>
      <c r="E122" s="250">
        <v>0</v>
      </c>
      <c r="F122" s="251">
        <f>+C122+D122-E122</f>
        <v>0</v>
      </c>
      <c r="G122" s="251">
        <v>0</v>
      </c>
      <c r="H122" s="256">
        <f>+F122</f>
        <v>0</v>
      </c>
    </row>
    <row r="123" spans="1:8" ht="12">
      <c r="A123" s="19">
        <v>166599</v>
      </c>
      <c r="B123" s="23" t="s">
        <v>3549</v>
      </c>
      <c r="C123" s="95">
        <v>0</v>
      </c>
      <c r="D123" s="250">
        <v>0</v>
      </c>
      <c r="E123" s="250">
        <v>0</v>
      </c>
      <c r="F123" s="251">
        <f>+C123+D123-E123</f>
        <v>0</v>
      </c>
      <c r="G123" s="251">
        <v>0</v>
      </c>
      <c r="H123" s="256">
        <f>+F123</f>
        <v>0</v>
      </c>
    </row>
    <row r="124" spans="1:8" ht="24">
      <c r="A124" s="16">
        <v>167000</v>
      </c>
      <c r="B124" s="27" t="s">
        <v>829</v>
      </c>
      <c r="C124" s="91">
        <f aca="true" t="shared" si="25" ref="C124:H124">+SUM(C125:C129)</f>
        <v>2557804</v>
      </c>
      <c r="D124" s="91">
        <f t="shared" si="25"/>
        <v>8474434</v>
      </c>
      <c r="E124" s="91">
        <f t="shared" si="25"/>
        <v>8381203</v>
      </c>
      <c r="F124" s="91">
        <f t="shared" si="25"/>
        <v>2651035</v>
      </c>
      <c r="G124" s="91">
        <f t="shared" si="25"/>
        <v>0</v>
      </c>
      <c r="H124" s="25">
        <f t="shared" si="25"/>
        <v>2651035</v>
      </c>
    </row>
    <row r="125" spans="1:8" ht="12">
      <c r="A125" s="19">
        <v>167001</v>
      </c>
      <c r="B125" s="23" t="s">
        <v>830</v>
      </c>
      <c r="C125" s="95">
        <v>178698</v>
      </c>
      <c r="D125" s="250">
        <f>520418+568</f>
        <v>520986</v>
      </c>
      <c r="E125" s="250">
        <v>495296</v>
      </c>
      <c r="F125" s="251">
        <f>+C125+D125-E125</f>
        <v>204388</v>
      </c>
      <c r="G125" s="251">
        <v>0</v>
      </c>
      <c r="H125" s="256">
        <f>+F125</f>
        <v>204388</v>
      </c>
    </row>
    <row r="126" spans="1:8" ht="12">
      <c r="A126" s="19">
        <v>167002</v>
      </c>
      <c r="B126" s="23" t="s">
        <v>831</v>
      </c>
      <c r="C126" s="95">
        <v>2379106</v>
      </c>
      <c r="D126" s="250">
        <f>7949065+4383</f>
        <v>7953448</v>
      </c>
      <c r="E126" s="250">
        <v>7885907</v>
      </c>
      <c r="F126" s="251">
        <f>+C126+D126-E126</f>
        <v>2446647</v>
      </c>
      <c r="G126" s="251">
        <v>0</v>
      </c>
      <c r="H126" s="256">
        <f>+F126</f>
        <v>2446647</v>
      </c>
    </row>
    <row r="127" spans="1:8" ht="12">
      <c r="A127" s="19">
        <v>167003</v>
      </c>
      <c r="B127" s="23" t="s">
        <v>832</v>
      </c>
      <c r="C127" s="95">
        <v>0</v>
      </c>
      <c r="D127" s="250">
        <v>0</v>
      </c>
      <c r="E127" s="250">
        <v>0</v>
      </c>
      <c r="F127" s="251">
        <f>+C127+D127-E127</f>
        <v>0</v>
      </c>
      <c r="G127" s="251">
        <v>0</v>
      </c>
      <c r="H127" s="256">
        <f>+F127</f>
        <v>0</v>
      </c>
    </row>
    <row r="128" spans="1:8" s="15" customFormat="1" ht="24">
      <c r="A128" s="19">
        <v>167090</v>
      </c>
      <c r="B128" s="23" t="s">
        <v>833</v>
      </c>
      <c r="C128" s="95">
        <v>0</v>
      </c>
      <c r="D128" s="250">
        <v>0</v>
      </c>
      <c r="E128" s="250">
        <v>0</v>
      </c>
      <c r="F128" s="251">
        <f>+C128+D128-E128</f>
        <v>0</v>
      </c>
      <c r="G128" s="251">
        <v>0</v>
      </c>
      <c r="H128" s="256">
        <f>+F128</f>
        <v>0</v>
      </c>
    </row>
    <row r="129" spans="1:8" ht="12">
      <c r="A129" s="19">
        <v>167099</v>
      </c>
      <c r="B129" s="23" t="s">
        <v>834</v>
      </c>
      <c r="C129" s="95">
        <v>0</v>
      </c>
      <c r="D129" s="250">
        <v>0</v>
      </c>
      <c r="E129" s="250">
        <v>0</v>
      </c>
      <c r="F129" s="251">
        <f>+C129+D129-E129</f>
        <v>0</v>
      </c>
      <c r="G129" s="251">
        <v>0</v>
      </c>
      <c r="H129" s="256">
        <f>+F129</f>
        <v>0</v>
      </c>
    </row>
    <row r="130" spans="1:8" ht="12">
      <c r="A130" s="16">
        <v>167500</v>
      </c>
      <c r="B130" s="24" t="s">
        <v>835</v>
      </c>
      <c r="C130" s="91">
        <f aca="true" t="shared" si="26" ref="C130:H130">+SUM(C131:C132)</f>
        <v>471591</v>
      </c>
      <c r="D130" s="91">
        <f t="shared" si="26"/>
        <v>0</v>
      </c>
      <c r="E130" s="91">
        <f t="shared" si="26"/>
        <v>0</v>
      </c>
      <c r="F130" s="91">
        <f t="shared" si="26"/>
        <v>471591</v>
      </c>
      <c r="G130" s="91">
        <f t="shared" si="26"/>
        <v>0</v>
      </c>
      <c r="H130" s="25">
        <f t="shared" si="26"/>
        <v>471591</v>
      </c>
    </row>
    <row r="131" spans="1:8" s="15" customFormat="1" ht="12">
      <c r="A131" s="19">
        <v>167502</v>
      </c>
      <c r="B131" s="23" t="s">
        <v>836</v>
      </c>
      <c r="C131" s="95">
        <v>471591</v>
      </c>
      <c r="D131" s="250">
        <v>0</v>
      </c>
      <c r="E131" s="250">
        <v>0</v>
      </c>
      <c r="F131" s="251">
        <f>+C131+D131-E131</f>
        <v>471591</v>
      </c>
      <c r="G131" s="251">
        <v>0</v>
      </c>
      <c r="H131" s="256">
        <f>+F131</f>
        <v>471591</v>
      </c>
    </row>
    <row r="132" spans="1:8" ht="12">
      <c r="A132" s="19">
        <v>167599</v>
      </c>
      <c r="B132" s="26" t="s">
        <v>3528</v>
      </c>
      <c r="C132" s="95">
        <v>0</v>
      </c>
      <c r="D132" s="250">
        <v>0</v>
      </c>
      <c r="E132" s="250">
        <v>0</v>
      </c>
      <c r="F132" s="251">
        <f>+C132+D132-E132</f>
        <v>0</v>
      </c>
      <c r="G132" s="251">
        <v>0</v>
      </c>
      <c r="H132" s="256">
        <f>+F132</f>
        <v>0</v>
      </c>
    </row>
    <row r="133" spans="1:8" ht="24">
      <c r="A133" s="16">
        <v>168000</v>
      </c>
      <c r="B133" s="28" t="s">
        <v>837</v>
      </c>
      <c r="C133" s="252">
        <f aca="true" t="shared" si="27" ref="C133:H133">+SUM(C134:C135)</f>
        <v>8338</v>
      </c>
      <c r="D133" s="252">
        <f t="shared" si="27"/>
        <v>250</v>
      </c>
      <c r="E133" s="252">
        <f t="shared" si="27"/>
        <v>0</v>
      </c>
      <c r="F133" s="252">
        <f t="shared" si="27"/>
        <v>8588</v>
      </c>
      <c r="G133" s="252">
        <f t="shared" si="27"/>
        <v>0</v>
      </c>
      <c r="H133" s="29">
        <f t="shared" si="27"/>
        <v>8588</v>
      </c>
    </row>
    <row r="134" spans="1:8" s="15" customFormat="1" ht="12">
      <c r="A134" s="19">
        <v>168002</v>
      </c>
      <c r="B134" s="26" t="s">
        <v>838</v>
      </c>
      <c r="C134" s="95">
        <v>8338</v>
      </c>
      <c r="D134" s="250">
        <v>250</v>
      </c>
      <c r="E134" s="250">
        <v>0</v>
      </c>
      <c r="F134" s="251">
        <f>+C134+D134-E134</f>
        <v>8588</v>
      </c>
      <c r="G134" s="251">
        <v>0</v>
      </c>
      <c r="H134" s="256">
        <f>+F134</f>
        <v>8588</v>
      </c>
    </row>
    <row r="135" spans="1:8" ht="12">
      <c r="A135" s="19">
        <v>168099</v>
      </c>
      <c r="B135" s="26" t="s">
        <v>3528</v>
      </c>
      <c r="C135" s="95">
        <v>0</v>
      </c>
      <c r="D135" s="250">
        <v>0</v>
      </c>
      <c r="E135" s="250">
        <v>0</v>
      </c>
      <c r="F135" s="251">
        <f>+C135+D135-E135</f>
        <v>0</v>
      </c>
      <c r="G135" s="251">
        <v>0</v>
      </c>
      <c r="H135" s="256">
        <f>+F135</f>
        <v>0</v>
      </c>
    </row>
    <row r="136" spans="1:8" ht="12">
      <c r="A136" s="16">
        <v>168500</v>
      </c>
      <c r="B136" s="27" t="s">
        <v>839</v>
      </c>
      <c r="C136" s="91">
        <f aca="true" t="shared" si="28" ref="C136:H136">+SUM(C137:C144)</f>
        <v>-5204245</v>
      </c>
      <c r="D136" s="91">
        <f t="shared" si="28"/>
        <v>397783</v>
      </c>
      <c r="E136" s="91">
        <f t="shared" si="28"/>
        <v>474890</v>
      </c>
      <c r="F136" s="91">
        <f t="shared" si="28"/>
        <v>-5281352</v>
      </c>
      <c r="G136" s="91">
        <f t="shared" si="28"/>
        <v>0</v>
      </c>
      <c r="H136" s="25">
        <f t="shared" si="28"/>
        <v>-5281352</v>
      </c>
    </row>
    <row r="137" spans="1:8" ht="12">
      <c r="A137" s="19">
        <v>168501</v>
      </c>
      <c r="B137" s="26" t="s">
        <v>840</v>
      </c>
      <c r="C137" s="95">
        <v>-2044716</v>
      </c>
      <c r="D137" s="250">
        <v>200292</v>
      </c>
      <c r="E137" s="250">
        <f>216147+1</f>
        <v>216148</v>
      </c>
      <c r="F137" s="251">
        <f aca="true" t="shared" si="29" ref="F137:F144">+C137+D137-E137</f>
        <v>-2060572</v>
      </c>
      <c r="G137" s="251">
        <v>0</v>
      </c>
      <c r="H137" s="256">
        <f aca="true" t="shared" si="30" ref="H137:H144">+F137</f>
        <v>-2060572</v>
      </c>
    </row>
    <row r="138" spans="1:8" ht="12">
      <c r="A138" s="19">
        <v>168504</v>
      </c>
      <c r="B138" s="26" t="s">
        <v>3524</v>
      </c>
      <c r="C138" s="95">
        <v>-17633</v>
      </c>
      <c r="D138" s="250">
        <v>3380</v>
      </c>
      <c r="E138" s="250">
        <f>3466+92</f>
        <v>3558</v>
      </c>
      <c r="F138" s="251">
        <f t="shared" si="29"/>
        <v>-17811</v>
      </c>
      <c r="G138" s="251">
        <v>0</v>
      </c>
      <c r="H138" s="256">
        <f t="shared" si="30"/>
        <v>-17811</v>
      </c>
    </row>
    <row r="139" spans="1:8" ht="12">
      <c r="A139" s="19">
        <v>168505</v>
      </c>
      <c r="B139" s="26" t="s">
        <v>841</v>
      </c>
      <c r="C139" s="95">
        <v>0</v>
      </c>
      <c r="D139" s="250">
        <v>0</v>
      </c>
      <c r="E139" s="250">
        <v>0</v>
      </c>
      <c r="F139" s="251">
        <f t="shared" si="29"/>
        <v>0</v>
      </c>
      <c r="G139" s="251">
        <v>0</v>
      </c>
      <c r="H139" s="256">
        <f t="shared" si="30"/>
        <v>0</v>
      </c>
    </row>
    <row r="140" spans="1:8" ht="12">
      <c r="A140" s="19">
        <v>168506</v>
      </c>
      <c r="B140" s="26" t="s">
        <v>842</v>
      </c>
      <c r="C140" s="95">
        <v>-960632</v>
      </c>
      <c r="D140" s="250">
        <f>445+1</f>
        <v>446</v>
      </c>
      <c r="E140" s="250">
        <f>2506+1152</f>
        <v>3658</v>
      </c>
      <c r="F140" s="251">
        <f t="shared" si="29"/>
        <v>-963844</v>
      </c>
      <c r="G140" s="251">
        <v>0</v>
      </c>
      <c r="H140" s="256">
        <f t="shared" si="30"/>
        <v>-963844</v>
      </c>
    </row>
    <row r="141" spans="1:8" ht="12">
      <c r="A141" s="19">
        <v>168507</v>
      </c>
      <c r="B141" s="26" t="s">
        <v>3521</v>
      </c>
      <c r="C141" s="95">
        <v>-1950474</v>
      </c>
      <c r="D141" s="250">
        <v>193665</v>
      </c>
      <c r="E141" s="250">
        <f>223602+11503</f>
        <v>235105</v>
      </c>
      <c r="F141" s="251">
        <f t="shared" si="29"/>
        <v>-1991914</v>
      </c>
      <c r="G141" s="251">
        <v>0</v>
      </c>
      <c r="H141" s="256">
        <f t="shared" si="30"/>
        <v>-1991914</v>
      </c>
    </row>
    <row r="142" spans="1:8" ht="12">
      <c r="A142" s="19">
        <v>168508</v>
      </c>
      <c r="B142" s="26" t="s">
        <v>843</v>
      </c>
      <c r="C142" s="95">
        <v>-222707</v>
      </c>
      <c r="D142" s="250">
        <v>0</v>
      </c>
      <c r="E142" s="250">
        <v>16171</v>
      </c>
      <c r="F142" s="251">
        <f t="shared" si="29"/>
        <v>-238878</v>
      </c>
      <c r="G142" s="251">
        <v>0</v>
      </c>
      <c r="H142" s="256">
        <f t="shared" si="30"/>
        <v>-238878</v>
      </c>
    </row>
    <row r="143" spans="1:8" s="15" customFormat="1" ht="24">
      <c r="A143" s="19">
        <v>168509</v>
      </c>
      <c r="B143" s="26" t="s">
        <v>844</v>
      </c>
      <c r="C143" s="95">
        <v>-8083</v>
      </c>
      <c r="D143" s="250">
        <v>0</v>
      </c>
      <c r="E143" s="250">
        <v>250</v>
      </c>
      <c r="F143" s="251">
        <f t="shared" si="29"/>
        <v>-8333</v>
      </c>
      <c r="G143" s="251">
        <v>0</v>
      </c>
      <c r="H143" s="256">
        <f t="shared" si="30"/>
        <v>-8333</v>
      </c>
    </row>
    <row r="144" spans="1:8" s="15" customFormat="1" ht="12">
      <c r="A144" s="19">
        <v>168599</v>
      </c>
      <c r="B144" s="26" t="s">
        <v>3528</v>
      </c>
      <c r="C144" s="95">
        <v>0</v>
      </c>
      <c r="D144" s="250">
        <v>0</v>
      </c>
      <c r="E144" s="250">
        <v>0</v>
      </c>
      <c r="F144" s="251">
        <f t="shared" si="29"/>
        <v>0</v>
      </c>
      <c r="G144" s="251">
        <v>0</v>
      </c>
      <c r="H144" s="256">
        <f t="shared" si="30"/>
        <v>0</v>
      </c>
    </row>
    <row r="145" spans="1:8" ht="12">
      <c r="A145" s="16">
        <v>190000</v>
      </c>
      <c r="B145" s="24" t="s">
        <v>845</v>
      </c>
      <c r="C145" s="91">
        <f aca="true" t="shared" si="31" ref="C145:H145">+C146+C153+C165+C167+C171+C174+C176+C180+C184+C187+C189+C193+C197+C207+C212+C214</f>
        <v>130406422</v>
      </c>
      <c r="D145" s="91">
        <f t="shared" si="31"/>
        <v>278190359</v>
      </c>
      <c r="E145" s="91">
        <f t="shared" si="31"/>
        <v>239056647</v>
      </c>
      <c r="F145" s="91">
        <f t="shared" si="31"/>
        <v>169540133</v>
      </c>
      <c r="G145" s="91">
        <f t="shared" si="31"/>
        <v>0</v>
      </c>
      <c r="H145" s="25">
        <f t="shared" si="31"/>
        <v>169540133</v>
      </c>
    </row>
    <row r="146" spans="1:8" ht="12">
      <c r="A146" s="16">
        <v>190500</v>
      </c>
      <c r="B146" s="24" t="s">
        <v>846</v>
      </c>
      <c r="C146" s="91">
        <f aca="true" t="shared" si="32" ref="C146:H146">+SUM(C147:C152)</f>
        <v>84696</v>
      </c>
      <c r="D146" s="91">
        <f t="shared" si="32"/>
        <v>6163</v>
      </c>
      <c r="E146" s="91">
        <f t="shared" si="32"/>
        <v>41856</v>
      </c>
      <c r="F146" s="91">
        <f t="shared" si="32"/>
        <v>49003</v>
      </c>
      <c r="G146" s="91">
        <f t="shared" si="32"/>
        <v>0</v>
      </c>
      <c r="H146" s="25">
        <f t="shared" si="32"/>
        <v>49003</v>
      </c>
    </row>
    <row r="147" spans="1:8" ht="12">
      <c r="A147" s="19">
        <v>190501</v>
      </c>
      <c r="B147" s="23" t="s">
        <v>847</v>
      </c>
      <c r="C147" s="95">
        <v>72760</v>
      </c>
      <c r="D147" s="250">
        <v>4973</v>
      </c>
      <c r="E147" s="250">
        <f>37269+1848</f>
        <v>39117</v>
      </c>
      <c r="F147" s="251">
        <f aca="true" t="shared" si="33" ref="F147:F152">+C147+D147-E147</f>
        <v>38616</v>
      </c>
      <c r="G147" s="251">
        <v>0</v>
      </c>
      <c r="H147" s="256">
        <f aca="true" t="shared" si="34" ref="H147:H152">+F147</f>
        <v>38616</v>
      </c>
    </row>
    <row r="148" spans="1:8" ht="12">
      <c r="A148" s="19">
        <v>190504</v>
      </c>
      <c r="B148" s="23" t="s">
        <v>3499</v>
      </c>
      <c r="C148" s="95">
        <v>0</v>
      </c>
      <c r="D148" s="250">
        <v>0</v>
      </c>
      <c r="E148" s="250">
        <v>0</v>
      </c>
      <c r="F148" s="251">
        <f t="shared" si="33"/>
        <v>0</v>
      </c>
      <c r="G148" s="251">
        <v>0</v>
      </c>
      <c r="H148" s="256">
        <f t="shared" si="34"/>
        <v>0</v>
      </c>
    </row>
    <row r="149" spans="1:8" ht="24">
      <c r="A149" s="19">
        <v>190505</v>
      </c>
      <c r="B149" s="23" t="s">
        <v>848</v>
      </c>
      <c r="C149" s="95">
        <v>11936</v>
      </c>
      <c r="D149" s="250">
        <f>190+1000</f>
        <v>1190</v>
      </c>
      <c r="E149" s="250">
        <f>209+2530</f>
        <v>2739</v>
      </c>
      <c r="F149" s="251">
        <f t="shared" si="33"/>
        <v>10387</v>
      </c>
      <c r="G149" s="251">
        <v>0</v>
      </c>
      <c r="H149" s="256">
        <f t="shared" si="34"/>
        <v>10387</v>
      </c>
    </row>
    <row r="150" spans="1:8" ht="12">
      <c r="A150" s="19">
        <v>190507</v>
      </c>
      <c r="B150" s="23" t="s">
        <v>849</v>
      </c>
      <c r="C150" s="95">
        <v>0</v>
      </c>
      <c r="D150" s="250">
        <v>0</v>
      </c>
      <c r="E150" s="250">
        <v>0</v>
      </c>
      <c r="F150" s="251">
        <f t="shared" si="33"/>
        <v>0</v>
      </c>
      <c r="G150" s="251">
        <v>0</v>
      </c>
      <c r="H150" s="256">
        <f t="shared" si="34"/>
        <v>0</v>
      </c>
    </row>
    <row r="151" spans="1:8" s="15" customFormat="1" ht="12">
      <c r="A151" s="19">
        <v>190508</v>
      </c>
      <c r="B151" s="23" t="s">
        <v>850</v>
      </c>
      <c r="C151" s="95">
        <v>0</v>
      </c>
      <c r="D151" s="250">
        <v>0</v>
      </c>
      <c r="E151" s="250">
        <v>0</v>
      </c>
      <c r="F151" s="251">
        <f t="shared" si="33"/>
        <v>0</v>
      </c>
      <c r="G151" s="251">
        <v>0</v>
      </c>
      <c r="H151" s="256">
        <f t="shared" si="34"/>
        <v>0</v>
      </c>
    </row>
    <row r="152" spans="1:8" ht="12">
      <c r="A152" s="19">
        <v>190590</v>
      </c>
      <c r="B152" s="23" t="s">
        <v>851</v>
      </c>
      <c r="C152" s="95">
        <v>0</v>
      </c>
      <c r="D152" s="250">
        <v>0</v>
      </c>
      <c r="E152" s="250">
        <v>0</v>
      </c>
      <c r="F152" s="251">
        <f t="shared" si="33"/>
        <v>0</v>
      </c>
      <c r="G152" s="251">
        <v>0</v>
      </c>
      <c r="H152" s="256">
        <f t="shared" si="34"/>
        <v>0</v>
      </c>
    </row>
    <row r="153" spans="1:8" ht="12">
      <c r="A153" s="16">
        <v>191000</v>
      </c>
      <c r="B153" s="24" t="s">
        <v>852</v>
      </c>
      <c r="C153" s="91">
        <f aca="true" t="shared" si="35" ref="C153:H153">+SUM(C154:C164)</f>
        <v>134472</v>
      </c>
      <c r="D153" s="91">
        <f t="shared" si="35"/>
        <v>204130</v>
      </c>
      <c r="E153" s="91">
        <f t="shared" si="35"/>
        <v>260214</v>
      </c>
      <c r="F153" s="91">
        <f t="shared" si="35"/>
        <v>78388</v>
      </c>
      <c r="G153" s="91">
        <f t="shared" si="35"/>
        <v>0</v>
      </c>
      <c r="H153" s="25">
        <f t="shared" si="35"/>
        <v>78388</v>
      </c>
    </row>
    <row r="154" spans="1:8" ht="12">
      <c r="A154" s="19">
        <v>191001</v>
      </c>
      <c r="B154" s="23" t="s">
        <v>853</v>
      </c>
      <c r="C154" s="95">
        <v>131785</v>
      </c>
      <c r="D154" s="250">
        <f>170440+2+9376</f>
        <v>179818</v>
      </c>
      <c r="E154" s="250">
        <f>184293+50249</f>
        <v>234542</v>
      </c>
      <c r="F154" s="251">
        <f aca="true" t="shared" si="36" ref="F154:F164">+C154+D154-E154</f>
        <v>77061</v>
      </c>
      <c r="G154" s="251">
        <v>0</v>
      </c>
      <c r="H154" s="256">
        <f aca="true" t="shared" si="37" ref="H154:H164">+F154</f>
        <v>77061</v>
      </c>
    </row>
    <row r="155" spans="1:8" ht="12">
      <c r="A155" s="19">
        <v>191003</v>
      </c>
      <c r="B155" s="23" t="s">
        <v>854</v>
      </c>
      <c r="C155" s="95">
        <v>0</v>
      </c>
      <c r="D155" s="250">
        <v>0</v>
      </c>
      <c r="E155" s="250">
        <v>0</v>
      </c>
      <c r="F155" s="251">
        <f t="shared" si="36"/>
        <v>0</v>
      </c>
      <c r="G155" s="251">
        <v>0</v>
      </c>
      <c r="H155" s="256">
        <f t="shared" si="37"/>
        <v>0</v>
      </c>
    </row>
    <row r="156" spans="1:8" ht="12">
      <c r="A156" s="19">
        <v>191004</v>
      </c>
      <c r="B156" s="26" t="s">
        <v>855</v>
      </c>
      <c r="C156" s="95">
        <v>0</v>
      </c>
      <c r="D156" s="250">
        <v>12693</v>
      </c>
      <c r="E156" s="250">
        <v>12693</v>
      </c>
      <c r="F156" s="251">
        <f t="shared" si="36"/>
        <v>0</v>
      </c>
      <c r="G156" s="251">
        <v>0</v>
      </c>
      <c r="H156" s="256">
        <f t="shared" si="37"/>
        <v>0</v>
      </c>
    </row>
    <row r="157" spans="1:8" ht="12">
      <c r="A157" s="19">
        <v>191008</v>
      </c>
      <c r="B157" s="26" t="s">
        <v>856</v>
      </c>
      <c r="C157" s="95">
        <v>0</v>
      </c>
      <c r="D157" s="250">
        <v>0</v>
      </c>
      <c r="E157" s="250">
        <v>0</v>
      </c>
      <c r="F157" s="251">
        <f t="shared" si="36"/>
        <v>0</v>
      </c>
      <c r="G157" s="251">
        <v>0</v>
      </c>
      <c r="H157" s="256">
        <f t="shared" si="37"/>
        <v>0</v>
      </c>
    </row>
    <row r="158" spans="1:8" ht="12">
      <c r="A158" s="19">
        <v>191012</v>
      </c>
      <c r="B158" s="26" t="s">
        <v>857</v>
      </c>
      <c r="C158" s="95">
        <v>0</v>
      </c>
      <c r="D158" s="250">
        <v>0</v>
      </c>
      <c r="E158" s="250">
        <v>0</v>
      </c>
      <c r="F158" s="251">
        <f t="shared" si="36"/>
        <v>0</v>
      </c>
      <c r="G158" s="251">
        <v>0</v>
      </c>
      <c r="H158" s="256">
        <f t="shared" si="37"/>
        <v>0</v>
      </c>
    </row>
    <row r="159" spans="1:8" ht="24">
      <c r="A159" s="19">
        <v>191021</v>
      </c>
      <c r="B159" s="26" t="s">
        <v>858</v>
      </c>
      <c r="C159" s="95">
        <v>0</v>
      </c>
      <c r="D159" s="250">
        <v>11619</v>
      </c>
      <c r="E159" s="250">
        <v>11619</v>
      </c>
      <c r="F159" s="251">
        <f t="shared" si="36"/>
        <v>0</v>
      </c>
      <c r="G159" s="251">
        <v>0</v>
      </c>
      <c r="H159" s="256">
        <f t="shared" si="37"/>
        <v>0</v>
      </c>
    </row>
    <row r="160" spans="1:8" ht="12">
      <c r="A160" s="19">
        <v>191022</v>
      </c>
      <c r="B160" s="23" t="s">
        <v>859</v>
      </c>
      <c r="C160" s="95">
        <v>2687</v>
      </c>
      <c r="D160" s="250">
        <v>0</v>
      </c>
      <c r="E160" s="250">
        <v>1360</v>
      </c>
      <c r="F160" s="251">
        <f t="shared" si="36"/>
        <v>1327</v>
      </c>
      <c r="G160" s="251">
        <v>0</v>
      </c>
      <c r="H160" s="256">
        <f t="shared" si="37"/>
        <v>1327</v>
      </c>
    </row>
    <row r="161" spans="1:8" ht="12">
      <c r="A161" s="19">
        <v>191023</v>
      </c>
      <c r="B161" s="23" t="s">
        <v>860</v>
      </c>
      <c r="C161" s="95">
        <v>0</v>
      </c>
      <c r="D161" s="250">
        <v>0</v>
      </c>
      <c r="E161" s="250">
        <v>0</v>
      </c>
      <c r="F161" s="251">
        <f t="shared" si="36"/>
        <v>0</v>
      </c>
      <c r="G161" s="251">
        <v>0</v>
      </c>
      <c r="H161" s="256">
        <f t="shared" si="37"/>
        <v>0</v>
      </c>
    </row>
    <row r="162" spans="1:8" ht="12">
      <c r="A162" s="19">
        <v>191026</v>
      </c>
      <c r="B162" s="23" t="s">
        <v>850</v>
      </c>
      <c r="C162" s="95">
        <v>0</v>
      </c>
      <c r="D162" s="250">
        <v>0</v>
      </c>
      <c r="E162" s="250">
        <v>0</v>
      </c>
      <c r="F162" s="251">
        <f t="shared" si="36"/>
        <v>0</v>
      </c>
      <c r="G162" s="251">
        <v>0</v>
      </c>
      <c r="H162" s="256">
        <f t="shared" si="37"/>
        <v>0</v>
      </c>
    </row>
    <row r="163" spans="1:8" s="15" customFormat="1" ht="12">
      <c r="A163" s="19">
        <v>191090</v>
      </c>
      <c r="B163" s="23" t="s">
        <v>861</v>
      </c>
      <c r="C163" s="95">
        <v>0</v>
      </c>
      <c r="D163" s="250">
        <v>0</v>
      </c>
      <c r="E163" s="250">
        <v>0</v>
      </c>
      <c r="F163" s="251">
        <f t="shared" si="36"/>
        <v>0</v>
      </c>
      <c r="G163" s="251">
        <v>0</v>
      </c>
      <c r="H163" s="256">
        <f t="shared" si="37"/>
        <v>0</v>
      </c>
    </row>
    <row r="164" spans="1:8" ht="12">
      <c r="A164" s="19">
        <v>191099</v>
      </c>
      <c r="B164" s="26" t="s">
        <v>3528</v>
      </c>
      <c r="C164" s="95">
        <v>0</v>
      </c>
      <c r="D164" s="250">
        <v>0</v>
      </c>
      <c r="E164" s="250">
        <v>0</v>
      </c>
      <c r="F164" s="251">
        <f t="shared" si="36"/>
        <v>0</v>
      </c>
      <c r="G164" s="251">
        <v>0</v>
      </c>
      <c r="H164" s="256">
        <f t="shared" si="37"/>
        <v>0</v>
      </c>
    </row>
    <row r="165" spans="1:8" s="15" customFormat="1" ht="12">
      <c r="A165" s="16">
        <v>191100</v>
      </c>
      <c r="B165" s="27" t="s">
        <v>862</v>
      </c>
      <c r="C165" s="91">
        <f aca="true" t="shared" si="38" ref="C165:H165">+SUM(C166)</f>
        <v>118780549</v>
      </c>
      <c r="D165" s="91">
        <f t="shared" si="38"/>
        <v>61279401</v>
      </c>
      <c r="E165" s="91">
        <f t="shared" si="38"/>
        <v>22546608</v>
      </c>
      <c r="F165" s="91">
        <f t="shared" si="38"/>
        <v>157513342</v>
      </c>
      <c r="G165" s="91">
        <f t="shared" si="38"/>
        <v>0</v>
      </c>
      <c r="H165" s="25">
        <f t="shared" si="38"/>
        <v>157513342</v>
      </c>
    </row>
    <row r="166" spans="1:8" ht="12">
      <c r="A166" s="19">
        <v>191102</v>
      </c>
      <c r="B166" s="26" t="s">
        <v>863</v>
      </c>
      <c r="C166" s="95">
        <v>118780549</v>
      </c>
      <c r="D166" s="250">
        <v>61279401</v>
      </c>
      <c r="E166" s="250">
        <v>22546608</v>
      </c>
      <c r="F166" s="251">
        <f>+C166+D166-E166</f>
        <v>157513342</v>
      </c>
      <c r="G166" s="251">
        <v>0</v>
      </c>
      <c r="H166" s="256">
        <f>+F166</f>
        <v>157513342</v>
      </c>
    </row>
    <row r="167" spans="1:8" ht="12">
      <c r="A167" s="16">
        <v>192000</v>
      </c>
      <c r="B167" s="27" t="s">
        <v>864</v>
      </c>
      <c r="C167" s="91">
        <f aca="true" t="shared" si="39" ref="C167:H167">+SUM(C168:C170)</f>
        <v>7726768</v>
      </c>
      <c r="D167" s="91">
        <f t="shared" si="39"/>
        <v>702567</v>
      </c>
      <c r="E167" s="91">
        <f t="shared" si="39"/>
        <v>1000</v>
      </c>
      <c r="F167" s="91">
        <f t="shared" si="39"/>
        <v>8428335</v>
      </c>
      <c r="G167" s="91">
        <f t="shared" si="39"/>
        <v>0</v>
      </c>
      <c r="H167" s="25">
        <f t="shared" si="39"/>
        <v>8428335</v>
      </c>
    </row>
    <row r="168" spans="1:8" ht="24">
      <c r="A168" s="19">
        <v>192002</v>
      </c>
      <c r="B168" s="26" t="s">
        <v>865</v>
      </c>
      <c r="C168" s="95">
        <v>7599116</v>
      </c>
      <c r="D168" s="250">
        <v>702567</v>
      </c>
      <c r="E168" s="250">
        <v>1000</v>
      </c>
      <c r="F168" s="251">
        <f>+C168+D168-E168</f>
        <v>8300683</v>
      </c>
      <c r="G168" s="251">
        <v>0</v>
      </c>
      <c r="H168" s="256">
        <f>+F168</f>
        <v>8300683</v>
      </c>
    </row>
    <row r="169" spans="1:8" s="15" customFormat="1" ht="12">
      <c r="A169" s="19">
        <v>192005</v>
      </c>
      <c r="B169" s="26" t="s">
        <v>866</v>
      </c>
      <c r="C169" s="95">
        <v>127652</v>
      </c>
      <c r="D169" s="250">
        <v>0</v>
      </c>
      <c r="E169" s="250">
        <v>0</v>
      </c>
      <c r="F169" s="251">
        <f>+C169+D169-E169</f>
        <v>127652</v>
      </c>
      <c r="G169" s="251">
        <v>0</v>
      </c>
      <c r="H169" s="256">
        <f>+F169</f>
        <v>127652</v>
      </c>
    </row>
    <row r="170" spans="1:8" ht="12">
      <c r="A170" s="19">
        <v>192099</v>
      </c>
      <c r="B170" s="26" t="s">
        <v>3528</v>
      </c>
      <c r="C170" s="95">
        <v>0</v>
      </c>
      <c r="D170" s="250">
        <v>0</v>
      </c>
      <c r="E170" s="250">
        <v>0</v>
      </c>
      <c r="F170" s="251">
        <f>+C170+D170-E170</f>
        <v>0</v>
      </c>
      <c r="G170" s="251">
        <v>0</v>
      </c>
      <c r="H170" s="256">
        <f>+F170</f>
        <v>0</v>
      </c>
    </row>
    <row r="171" spans="1:8" ht="24">
      <c r="A171" s="16">
        <v>192500</v>
      </c>
      <c r="B171" s="28" t="s">
        <v>867</v>
      </c>
      <c r="C171" s="252">
        <f>+SUM(C172:C173)</f>
        <v>-10006</v>
      </c>
      <c r="D171" s="251">
        <f>SUM(D172:D175)</f>
        <v>0</v>
      </c>
      <c r="E171" s="251">
        <f>SUM(E172:E175)</f>
        <v>0</v>
      </c>
      <c r="F171" s="251">
        <f>SUM(F172:F175)</f>
        <v>-10006</v>
      </c>
      <c r="G171" s="251">
        <f>SUM(G172:G175)</f>
        <v>0</v>
      </c>
      <c r="H171" s="256">
        <f>SUM(H172:H175)</f>
        <v>-10006</v>
      </c>
    </row>
    <row r="172" spans="1:8" s="15" customFormat="1" ht="12">
      <c r="A172" s="19">
        <v>192505</v>
      </c>
      <c r="B172" s="26" t="s">
        <v>866</v>
      </c>
      <c r="C172" s="95">
        <v>-10006</v>
      </c>
      <c r="D172" s="250">
        <v>0</v>
      </c>
      <c r="E172" s="250">
        <v>0</v>
      </c>
      <c r="F172" s="251">
        <f>+C172+D172-E172</f>
        <v>-10006</v>
      </c>
      <c r="G172" s="251">
        <v>0</v>
      </c>
      <c r="H172" s="256">
        <f>+F172</f>
        <v>-10006</v>
      </c>
    </row>
    <row r="173" spans="1:8" ht="12">
      <c r="A173" s="19">
        <v>192599</v>
      </c>
      <c r="B173" s="26" t="s">
        <v>868</v>
      </c>
      <c r="C173" s="95">
        <v>0</v>
      </c>
      <c r="D173" s="250">
        <v>0</v>
      </c>
      <c r="E173" s="250">
        <v>0</v>
      </c>
      <c r="F173" s="251">
        <f>+C173+D173-E173</f>
        <v>0</v>
      </c>
      <c r="G173" s="251">
        <v>0</v>
      </c>
      <c r="H173" s="256">
        <f>+F173</f>
        <v>0</v>
      </c>
    </row>
    <row r="174" spans="1:8" s="15" customFormat="1" ht="12">
      <c r="A174" s="16">
        <v>194100</v>
      </c>
      <c r="B174" s="27"/>
      <c r="C174" s="91">
        <f aca="true" t="shared" si="40" ref="C174:H174">+SUM(C175)</f>
        <v>0</v>
      </c>
      <c r="D174" s="91">
        <f t="shared" si="40"/>
        <v>0</v>
      </c>
      <c r="E174" s="91">
        <f t="shared" si="40"/>
        <v>0</v>
      </c>
      <c r="F174" s="91">
        <f t="shared" si="40"/>
        <v>0</v>
      </c>
      <c r="G174" s="91">
        <f t="shared" si="40"/>
        <v>0</v>
      </c>
      <c r="H174" s="25">
        <f t="shared" si="40"/>
        <v>0</v>
      </c>
    </row>
    <row r="175" spans="1:8" ht="12">
      <c r="A175" s="19">
        <v>194104</v>
      </c>
      <c r="B175" s="26" t="s">
        <v>869</v>
      </c>
      <c r="C175" s="95">
        <v>0</v>
      </c>
      <c r="D175" s="250">
        <v>0</v>
      </c>
      <c r="E175" s="250">
        <v>0</v>
      </c>
      <c r="F175" s="251">
        <f>+C175+D175-E175</f>
        <v>0</v>
      </c>
      <c r="G175" s="251">
        <v>0</v>
      </c>
      <c r="H175" s="256">
        <f>+F175</f>
        <v>0</v>
      </c>
    </row>
    <row r="176" spans="1:8" ht="12">
      <c r="A176" s="16">
        <v>195000</v>
      </c>
      <c r="B176" s="24" t="s">
        <v>870</v>
      </c>
      <c r="C176" s="91">
        <f aca="true" t="shared" si="41" ref="C176:H176">+SUM(C177:C179)</f>
        <v>36026</v>
      </c>
      <c r="D176" s="91">
        <f t="shared" si="41"/>
        <v>0</v>
      </c>
      <c r="E176" s="91">
        <f t="shared" si="41"/>
        <v>0</v>
      </c>
      <c r="F176" s="91">
        <f t="shared" si="41"/>
        <v>36026</v>
      </c>
      <c r="G176" s="91">
        <f t="shared" si="41"/>
        <v>0</v>
      </c>
      <c r="H176" s="25">
        <f t="shared" si="41"/>
        <v>36026</v>
      </c>
    </row>
    <row r="177" spans="1:8" ht="12">
      <c r="A177" s="19">
        <v>195002</v>
      </c>
      <c r="B177" s="23" t="s">
        <v>871</v>
      </c>
      <c r="C177" s="95">
        <v>36026</v>
      </c>
      <c r="D177" s="250">
        <v>0</v>
      </c>
      <c r="E177" s="250">
        <v>0</v>
      </c>
      <c r="F177" s="251">
        <f>+C177+D177-E177</f>
        <v>36026</v>
      </c>
      <c r="G177" s="251">
        <v>0</v>
      </c>
      <c r="H177" s="256">
        <f>+F177</f>
        <v>36026</v>
      </c>
    </row>
    <row r="178" spans="1:8" s="15" customFormat="1" ht="12">
      <c r="A178" s="19">
        <v>195003</v>
      </c>
      <c r="B178" s="23" t="s">
        <v>872</v>
      </c>
      <c r="C178" s="95">
        <v>0</v>
      </c>
      <c r="D178" s="250">
        <v>0</v>
      </c>
      <c r="E178" s="250">
        <v>0</v>
      </c>
      <c r="F178" s="251">
        <f>+C178+D178-E178</f>
        <v>0</v>
      </c>
      <c r="G178" s="251">
        <v>0</v>
      </c>
      <c r="H178" s="256">
        <f>+F178</f>
        <v>0</v>
      </c>
    </row>
    <row r="179" spans="1:8" ht="24">
      <c r="A179" s="19">
        <v>195004</v>
      </c>
      <c r="B179" s="23" t="s">
        <v>873</v>
      </c>
      <c r="C179" s="95">
        <v>0</v>
      </c>
      <c r="D179" s="250">
        <v>0</v>
      </c>
      <c r="E179" s="250">
        <v>0</v>
      </c>
      <c r="F179" s="251">
        <f>+C179+D179-E179</f>
        <v>0</v>
      </c>
      <c r="G179" s="251">
        <v>0</v>
      </c>
      <c r="H179" s="256">
        <f>+F179</f>
        <v>0</v>
      </c>
    </row>
    <row r="180" spans="1:8" ht="24">
      <c r="A180" s="16">
        <v>195500</v>
      </c>
      <c r="B180" s="24" t="s">
        <v>874</v>
      </c>
      <c r="C180" s="91">
        <f aca="true" t="shared" si="42" ref="C180:H180">+SUM(C181:C183)</f>
        <v>-36026</v>
      </c>
      <c r="D180" s="91">
        <f t="shared" si="42"/>
        <v>0</v>
      </c>
      <c r="E180" s="91">
        <f t="shared" si="42"/>
        <v>0</v>
      </c>
      <c r="F180" s="91">
        <f t="shared" si="42"/>
        <v>-36026</v>
      </c>
      <c r="G180" s="91">
        <f t="shared" si="42"/>
        <v>0</v>
      </c>
      <c r="H180" s="25">
        <f t="shared" si="42"/>
        <v>-36026</v>
      </c>
    </row>
    <row r="181" spans="1:8" ht="12">
      <c r="A181" s="19">
        <v>195502</v>
      </c>
      <c r="B181" s="23" t="s">
        <v>871</v>
      </c>
      <c r="C181" s="95">
        <v>-36026</v>
      </c>
      <c r="D181" s="250">
        <v>0</v>
      </c>
      <c r="E181" s="250">
        <v>0</v>
      </c>
      <c r="F181" s="251">
        <f>+C181+D181-E181</f>
        <v>-36026</v>
      </c>
      <c r="G181" s="251">
        <v>0</v>
      </c>
      <c r="H181" s="256">
        <f>+F181</f>
        <v>-36026</v>
      </c>
    </row>
    <row r="182" spans="1:8" s="15" customFormat="1" ht="12">
      <c r="A182" s="19">
        <v>195503</v>
      </c>
      <c r="B182" s="23" t="s">
        <v>875</v>
      </c>
      <c r="C182" s="95">
        <v>0</v>
      </c>
      <c r="D182" s="250">
        <v>0</v>
      </c>
      <c r="E182" s="250">
        <v>0</v>
      </c>
      <c r="F182" s="251">
        <f>+C182+D182-E182</f>
        <v>0</v>
      </c>
      <c r="G182" s="251">
        <v>0</v>
      </c>
      <c r="H182" s="256">
        <f>+F182</f>
        <v>0</v>
      </c>
    </row>
    <row r="183" spans="1:8" ht="24">
      <c r="A183" s="19">
        <v>195504</v>
      </c>
      <c r="B183" s="23" t="s">
        <v>873</v>
      </c>
      <c r="C183" s="95">
        <v>0</v>
      </c>
      <c r="D183" s="250">
        <v>0</v>
      </c>
      <c r="E183" s="250">
        <v>0</v>
      </c>
      <c r="F183" s="251">
        <f>+C183+D183-E183</f>
        <v>0</v>
      </c>
      <c r="G183" s="251">
        <v>0</v>
      </c>
      <c r="H183" s="256">
        <f>+F183</f>
        <v>0</v>
      </c>
    </row>
    <row r="184" spans="1:8" ht="12">
      <c r="A184" s="16">
        <v>196000</v>
      </c>
      <c r="B184" s="24" t="s">
        <v>876</v>
      </c>
      <c r="C184" s="91">
        <f>+SUM(C185:C186)</f>
        <v>0</v>
      </c>
      <c r="D184" s="251">
        <f>SUM(D185:D186)</f>
        <v>0</v>
      </c>
      <c r="E184" s="251">
        <f>SUM(E185:E186)</f>
        <v>0</v>
      </c>
      <c r="F184" s="251">
        <f>SUM(F185:F186)</f>
        <v>0</v>
      </c>
      <c r="G184" s="251">
        <f>SUM(G185:G186)</f>
        <v>0</v>
      </c>
      <c r="H184" s="256">
        <f>SUM(H185:H186)</f>
        <v>0</v>
      </c>
    </row>
    <row r="185" spans="1:8" s="15" customFormat="1" ht="12">
      <c r="A185" s="19">
        <v>196007</v>
      </c>
      <c r="B185" s="23" t="s">
        <v>877</v>
      </c>
      <c r="C185" s="95">
        <v>0</v>
      </c>
      <c r="D185" s="250">
        <v>0</v>
      </c>
      <c r="E185" s="250">
        <v>0</v>
      </c>
      <c r="F185" s="251">
        <f>+C185+D185-E185</f>
        <v>0</v>
      </c>
      <c r="G185" s="251">
        <v>0</v>
      </c>
      <c r="H185" s="256">
        <f>+F185</f>
        <v>0</v>
      </c>
    </row>
    <row r="186" spans="1:8" ht="12">
      <c r="A186" s="19">
        <v>196099</v>
      </c>
      <c r="B186" s="23" t="s">
        <v>878</v>
      </c>
      <c r="C186" s="95">
        <v>0</v>
      </c>
      <c r="D186" s="250">
        <v>0</v>
      </c>
      <c r="E186" s="250">
        <v>0</v>
      </c>
      <c r="F186" s="251">
        <f>+C186+D186-E186</f>
        <v>0</v>
      </c>
      <c r="G186" s="251">
        <v>0</v>
      </c>
      <c r="H186" s="256">
        <f>+F186</f>
        <v>0</v>
      </c>
    </row>
    <row r="187" spans="1:8" s="15" customFormat="1" ht="12">
      <c r="A187" s="16">
        <v>196500</v>
      </c>
      <c r="B187" s="24" t="s">
        <v>879</v>
      </c>
      <c r="C187" s="91">
        <f>+SUM(C188)</f>
        <v>0</v>
      </c>
      <c r="D187" s="251">
        <v>0</v>
      </c>
      <c r="E187" s="251">
        <v>0</v>
      </c>
      <c r="F187" s="251">
        <v>0</v>
      </c>
      <c r="G187" s="251">
        <v>0</v>
      </c>
      <c r="H187" s="256">
        <v>0</v>
      </c>
    </row>
    <row r="188" spans="1:8" ht="12">
      <c r="A188" s="19">
        <v>196507</v>
      </c>
      <c r="B188" s="23" t="s">
        <v>877</v>
      </c>
      <c r="C188" s="95">
        <v>0</v>
      </c>
      <c r="D188" s="250">
        <v>0</v>
      </c>
      <c r="E188" s="250">
        <v>0</v>
      </c>
      <c r="F188" s="251">
        <f>+C188+D188-E188</f>
        <v>0</v>
      </c>
      <c r="G188" s="251">
        <v>0</v>
      </c>
      <c r="H188" s="256">
        <f>+F188</f>
        <v>0</v>
      </c>
    </row>
    <row r="189" spans="1:8" ht="12">
      <c r="A189" s="16">
        <v>197000</v>
      </c>
      <c r="B189" s="24" t="s">
        <v>880</v>
      </c>
      <c r="C189" s="91">
        <f aca="true" t="shared" si="43" ref="C189:H189">+C190+C191+C192</f>
        <v>8159894</v>
      </c>
      <c r="D189" s="91">
        <f t="shared" si="43"/>
        <v>0</v>
      </c>
      <c r="E189" s="91">
        <f t="shared" si="43"/>
        <v>0</v>
      </c>
      <c r="F189" s="91">
        <f t="shared" si="43"/>
        <v>8159894</v>
      </c>
      <c r="G189" s="91">
        <f t="shared" si="43"/>
        <v>0</v>
      </c>
      <c r="H189" s="25">
        <f t="shared" si="43"/>
        <v>8159894</v>
      </c>
    </row>
    <row r="190" spans="1:8" ht="12">
      <c r="A190" s="19">
        <v>197007</v>
      </c>
      <c r="B190" s="23" t="s">
        <v>881</v>
      </c>
      <c r="C190" s="95">
        <v>0</v>
      </c>
      <c r="D190" s="250">
        <v>0</v>
      </c>
      <c r="E190" s="250">
        <v>0</v>
      </c>
      <c r="F190" s="251">
        <f>+C190+D190-E190</f>
        <v>0</v>
      </c>
      <c r="G190" s="251">
        <v>0</v>
      </c>
      <c r="H190" s="256">
        <f>+F190</f>
        <v>0</v>
      </c>
    </row>
    <row r="191" spans="1:8" s="15" customFormat="1" ht="12">
      <c r="A191" s="19">
        <v>197008</v>
      </c>
      <c r="B191" s="23" t="s">
        <v>882</v>
      </c>
      <c r="C191" s="95">
        <v>8159894</v>
      </c>
      <c r="D191" s="250">
        <v>0</v>
      </c>
      <c r="E191" s="250">
        <v>0</v>
      </c>
      <c r="F191" s="251">
        <f>+C191+D191-E191</f>
        <v>8159894</v>
      </c>
      <c r="G191" s="251">
        <v>0</v>
      </c>
      <c r="H191" s="256">
        <f>+F191</f>
        <v>8159894</v>
      </c>
    </row>
    <row r="192" spans="1:8" ht="12">
      <c r="A192" s="19">
        <v>197099</v>
      </c>
      <c r="B192" s="23" t="s">
        <v>3528</v>
      </c>
      <c r="C192" s="95">
        <v>0</v>
      </c>
      <c r="D192" s="250">
        <v>0</v>
      </c>
      <c r="E192" s="250">
        <v>0</v>
      </c>
      <c r="F192" s="251">
        <f>+C192+D192-E192</f>
        <v>0</v>
      </c>
      <c r="G192" s="251">
        <v>0</v>
      </c>
      <c r="H192" s="256">
        <f>+F192</f>
        <v>0</v>
      </c>
    </row>
    <row r="193" spans="1:8" ht="24">
      <c r="A193" s="16">
        <v>197500</v>
      </c>
      <c r="B193" s="24" t="s">
        <v>883</v>
      </c>
      <c r="C193" s="91">
        <f aca="true" t="shared" si="44" ref="C193:H193">+C194+C195+C196</f>
        <v>-7753125</v>
      </c>
      <c r="D193" s="91">
        <f t="shared" si="44"/>
        <v>591</v>
      </c>
      <c r="E193" s="91">
        <f t="shared" si="44"/>
        <v>88177</v>
      </c>
      <c r="F193" s="91">
        <f t="shared" si="44"/>
        <v>-7840711</v>
      </c>
      <c r="G193" s="91">
        <f t="shared" si="44"/>
        <v>0</v>
      </c>
      <c r="H193" s="25">
        <f t="shared" si="44"/>
        <v>-7840711</v>
      </c>
    </row>
    <row r="194" spans="1:8" ht="12">
      <c r="A194" s="19">
        <v>197507</v>
      </c>
      <c r="B194" s="23" t="s">
        <v>881</v>
      </c>
      <c r="C194" s="95">
        <v>0</v>
      </c>
      <c r="D194" s="250">
        <v>0</v>
      </c>
      <c r="E194" s="250">
        <v>0</v>
      </c>
      <c r="F194" s="251">
        <f>+C194+D194-E194</f>
        <v>0</v>
      </c>
      <c r="G194" s="251">
        <v>0</v>
      </c>
      <c r="H194" s="256">
        <f>+F194</f>
        <v>0</v>
      </c>
    </row>
    <row r="195" spans="1:8" s="15" customFormat="1" ht="12">
      <c r="A195" s="19">
        <v>197508</v>
      </c>
      <c r="B195" s="23" t="s">
        <v>882</v>
      </c>
      <c r="C195" s="95">
        <v>-7753125</v>
      </c>
      <c r="D195" s="250">
        <v>591</v>
      </c>
      <c r="E195" s="250">
        <v>88177</v>
      </c>
      <c r="F195" s="251">
        <f>+C195+D195-E195</f>
        <v>-7840711</v>
      </c>
      <c r="G195" s="251">
        <v>0</v>
      </c>
      <c r="H195" s="256">
        <f>+F195</f>
        <v>-7840711</v>
      </c>
    </row>
    <row r="196" spans="1:8" ht="12">
      <c r="A196" s="19">
        <v>197599</v>
      </c>
      <c r="B196" s="23" t="s">
        <v>3528</v>
      </c>
      <c r="C196" s="95">
        <v>0</v>
      </c>
      <c r="D196" s="250">
        <v>0</v>
      </c>
      <c r="E196" s="250">
        <v>0</v>
      </c>
      <c r="F196" s="251">
        <f>+C196+D196-E196</f>
        <v>0</v>
      </c>
      <c r="G196" s="251">
        <v>0</v>
      </c>
      <c r="H196" s="256">
        <f>+F196</f>
        <v>0</v>
      </c>
    </row>
    <row r="197" spans="1:8" ht="12">
      <c r="A197" s="16">
        <v>199500</v>
      </c>
      <c r="B197" s="24" t="s">
        <v>884</v>
      </c>
      <c r="C197" s="91">
        <f aca="true" t="shared" si="45" ref="C197:H197">+SUM(C198:C206)</f>
        <v>-86507</v>
      </c>
      <c r="D197" s="91">
        <f t="shared" si="45"/>
        <v>215854556</v>
      </c>
      <c r="E197" s="91">
        <f t="shared" si="45"/>
        <v>215768048</v>
      </c>
      <c r="F197" s="91">
        <f t="shared" si="45"/>
        <v>0</v>
      </c>
      <c r="G197" s="91">
        <f t="shared" si="45"/>
        <v>0</v>
      </c>
      <c r="H197" s="25">
        <f t="shared" si="45"/>
        <v>0</v>
      </c>
    </row>
    <row r="198" spans="1:8" ht="12">
      <c r="A198" s="19">
        <v>199501</v>
      </c>
      <c r="B198" s="23" t="s">
        <v>885</v>
      </c>
      <c r="C198" s="95">
        <v>52346</v>
      </c>
      <c r="D198" s="250">
        <v>207256109</v>
      </c>
      <c r="E198" s="250">
        <v>207308454</v>
      </c>
      <c r="F198" s="251">
        <f>+C198+D198-E198-1</f>
        <v>0</v>
      </c>
      <c r="G198" s="251">
        <v>0</v>
      </c>
      <c r="H198" s="256">
        <f aca="true" t="shared" si="46" ref="H198:H206">+F198</f>
        <v>0</v>
      </c>
    </row>
    <row r="199" spans="1:8" ht="12">
      <c r="A199" s="19">
        <v>199503</v>
      </c>
      <c r="B199" s="23" t="s">
        <v>886</v>
      </c>
      <c r="C199" s="95">
        <v>0</v>
      </c>
      <c r="D199" s="250">
        <v>0</v>
      </c>
      <c r="E199" s="250">
        <v>0</v>
      </c>
      <c r="F199" s="251">
        <f aca="true" t="shared" si="47" ref="F199:F206">+C199+D199-E199</f>
        <v>0</v>
      </c>
      <c r="G199" s="251">
        <v>0</v>
      </c>
      <c r="H199" s="256">
        <f t="shared" si="46"/>
        <v>0</v>
      </c>
    </row>
    <row r="200" spans="1:8" ht="12">
      <c r="A200" s="19">
        <v>199505</v>
      </c>
      <c r="B200" s="23" t="s">
        <v>887</v>
      </c>
      <c r="C200" s="95">
        <v>0</v>
      </c>
      <c r="D200" s="250">
        <v>2522317</v>
      </c>
      <c r="E200" s="250">
        <v>2522317</v>
      </c>
      <c r="F200" s="251">
        <f t="shared" si="47"/>
        <v>0</v>
      </c>
      <c r="G200" s="251">
        <v>0</v>
      </c>
      <c r="H200" s="256">
        <f t="shared" si="46"/>
        <v>0</v>
      </c>
    </row>
    <row r="201" spans="1:8" ht="12">
      <c r="A201" s="19">
        <v>199506</v>
      </c>
      <c r="B201" s="23" t="s">
        <v>888</v>
      </c>
      <c r="C201" s="95">
        <v>-52346</v>
      </c>
      <c r="D201" s="250">
        <v>3441836</v>
      </c>
      <c r="E201" s="250">
        <v>3389490</v>
      </c>
      <c r="F201" s="251">
        <f t="shared" si="47"/>
        <v>0</v>
      </c>
      <c r="G201" s="251">
        <v>0</v>
      </c>
      <c r="H201" s="256">
        <f t="shared" si="46"/>
        <v>0</v>
      </c>
    </row>
    <row r="202" spans="1:8" ht="12">
      <c r="A202" s="19">
        <v>199507</v>
      </c>
      <c r="B202" s="23" t="s">
        <v>889</v>
      </c>
      <c r="C202" s="95">
        <v>-86507</v>
      </c>
      <c r="D202" s="250">
        <v>103218</v>
      </c>
      <c r="E202" s="250">
        <v>16711</v>
      </c>
      <c r="F202" s="251">
        <f t="shared" si="47"/>
        <v>0</v>
      </c>
      <c r="G202" s="251">
        <v>0</v>
      </c>
      <c r="H202" s="256">
        <f t="shared" si="46"/>
        <v>0</v>
      </c>
    </row>
    <row r="203" spans="1:8" ht="12">
      <c r="A203" s="19">
        <v>199508</v>
      </c>
      <c r="B203" s="23" t="s">
        <v>890</v>
      </c>
      <c r="C203" s="95">
        <v>0</v>
      </c>
      <c r="D203" s="250">
        <v>0</v>
      </c>
      <c r="E203" s="250">
        <v>0</v>
      </c>
      <c r="F203" s="251">
        <f t="shared" si="47"/>
        <v>0</v>
      </c>
      <c r="G203" s="251">
        <v>0</v>
      </c>
      <c r="H203" s="256">
        <f t="shared" si="46"/>
        <v>0</v>
      </c>
    </row>
    <row r="204" spans="1:8" ht="12">
      <c r="A204" s="19">
        <v>199509</v>
      </c>
      <c r="B204" s="23" t="s">
        <v>891</v>
      </c>
      <c r="C204" s="95">
        <v>0</v>
      </c>
      <c r="D204" s="250">
        <v>2522317</v>
      </c>
      <c r="E204" s="250">
        <v>2522317</v>
      </c>
      <c r="F204" s="251">
        <f t="shared" si="47"/>
        <v>0</v>
      </c>
      <c r="G204" s="251">
        <v>0</v>
      </c>
      <c r="H204" s="256">
        <f t="shared" si="46"/>
        <v>0</v>
      </c>
    </row>
    <row r="205" spans="1:8" s="15" customFormat="1" ht="12">
      <c r="A205" s="19">
        <v>199510</v>
      </c>
      <c r="B205" s="23" t="s">
        <v>892</v>
      </c>
      <c r="C205" s="95">
        <v>8759</v>
      </c>
      <c r="D205" s="250">
        <v>0</v>
      </c>
      <c r="E205" s="250">
        <v>8759</v>
      </c>
      <c r="F205" s="251">
        <f t="shared" si="47"/>
        <v>0</v>
      </c>
      <c r="G205" s="251">
        <v>0</v>
      </c>
      <c r="H205" s="256">
        <f t="shared" si="46"/>
        <v>0</v>
      </c>
    </row>
    <row r="206" spans="1:8" ht="12">
      <c r="A206" s="19">
        <v>199511</v>
      </c>
      <c r="B206" s="23" t="s">
        <v>893</v>
      </c>
      <c r="C206" s="95">
        <v>-8759</v>
      </c>
      <c r="D206" s="250">
        <v>8759</v>
      </c>
      <c r="E206" s="250">
        <v>0</v>
      </c>
      <c r="F206" s="251">
        <f t="shared" si="47"/>
        <v>0</v>
      </c>
      <c r="G206" s="251">
        <v>0</v>
      </c>
      <c r="H206" s="256">
        <f t="shared" si="46"/>
        <v>0</v>
      </c>
    </row>
    <row r="207" spans="1:8" ht="24">
      <c r="A207" s="16">
        <v>199600</v>
      </c>
      <c r="B207" s="24" t="s">
        <v>894</v>
      </c>
      <c r="C207" s="91">
        <f>+SUM(C208:C211)</f>
        <v>0</v>
      </c>
      <c r="D207" s="251">
        <f>SUM(D208:D211)</f>
        <v>0</v>
      </c>
      <c r="E207" s="251">
        <f>SUM(E208:E211)</f>
        <v>0</v>
      </c>
      <c r="F207" s="251">
        <f>SUM(F208:F211)</f>
        <v>0</v>
      </c>
      <c r="G207" s="251">
        <f>SUM(G208:G211)</f>
        <v>0</v>
      </c>
      <c r="H207" s="256">
        <f>SUM(H208:H211)</f>
        <v>0</v>
      </c>
    </row>
    <row r="208" spans="1:8" ht="12">
      <c r="A208" s="19">
        <v>199601</v>
      </c>
      <c r="B208" s="23" t="s">
        <v>895</v>
      </c>
      <c r="C208" s="95">
        <v>0</v>
      </c>
      <c r="D208" s="250">
        <v>0</v>
      </c>
      <c r="E208" s="250">
        <v>0</v>
      </c>
      <c r="F208" s="251">
        <f>+C208+D208-E208</f>
        <v>0</v>
      </c>
      <c r="G208" s="251">
        <v>0</v>
      </c>
      <c r="H208" s="256">
        <f>+F208</f>
        <v>0</v>
      </c>
    </row>
    <row r="209" spans="1:8" ht="12">
      <c r="A209" s="19">
        <v>199603</v>
      </c>
      <c r="B209" s="23" t="s">
        <v>896</v>
      </c>
      <c r="C209" s="95">
        <v>0</v>
      </c>
      <c r="D209" s="250">
        <v>0</v>
      </c>
      <c r="E209" s="250">
        <v>0</v>
      </c>
      <c r="F209" s="251">
        <f>+C209+D209-E209</f>
        <v>0</v>
      </c>
      <c r="G209" s="251">
        <v>0</v>
      </c>
      <c r="H209" s="256">
        <f>+F209</f>
        <v>0</v>
      </c>
    </row>
    <row r="210" spans="1:8" s="15" customFormat="1" ht="12">
      <c r="A210" s="19">
        <v>199604</v>
      </c>
      <c r="B210" s="23" t="s">
        <v>897</v>
      </c>
      <c r="C210" s="95">
        <v>0</v>
      </c>
      <c r="D210" s="250">
        <v>0</v>
      </c>
      <c r="E210" s="250">
        <v>0</v>
      </c>
      <c r="F210" s="251">
        <f>+C210+D210-E210</f>
        <v>0</v>
      </c>
      <c r="G210" s="251">
        <v>0</v>
      </c>
      <c r="H210" s="256">
        <f>+F210</f>
        <v>0</v>
      </c>
    </row>
    <row r="211" spans="1:8" ht="24">
      <c r="A211" s="19">
        <v>199690</v>
      </c>
      <c r="B211" s="23" t="s">
        <v>898</v>
      </c>
      <c r="C211" s="95">
        <v>0</v>
      </c>
      <c r="D211" s="250">
        <v>0</v>
      </c>
      <c r="E211" s="250">
        <v>0</v>
      </c>
      <c r="F211" s="251">
        <f>+C211+D211-E211</f>
        <v>0</v>
      </c>
      <c r="G211" s="251">
        <v>0</v>
      </c>
      <c r="H211" s="256">
        <f>+F211</f>
        <v>0</v>
      </c>
    </row>
    <row r="212" spans="1:8" s="15" customFormat="1" ht="24">
      <c r="A212" s="16">
        <v>199700</v>
      </c>
      <c r="B212" s="24" t="s">
        <v>899</v>
      </c>
      <c r="C212" s="91">
        <f>+C213</f>
        <v>0</v>
      </c>
      <c r="D212" s="251">
        <f>SUM(D213)</f>
        <v>0</v>
      </c>
      <c r="E212" s="251">
        <f>SUM(E213)</f>
        <v>0</v>
      </c>
      <c r="F212" s="251">
        <f>SUM(F213)</f>
        <v>0</v>
      </c>
      <c r="G212" s="251">
        <f>SUM(G213)</f>
        <v>0</v>
      </c>
      <c r="H212" s="256">
        <f>SUM(H213)</f>
        <v>0</v>
      </c>
    </row>
    <row r="213" spans="1:8" ht="12">
      <c r="A213" s="19">
        <v>199701</v>
      </c>
      <c r="B213" s="23" t="s">
        <v>895</v>
      </c>
      <c r="C213" s="95">
        <v>0</v>
      </c>
      <c r="D213" s="250">
        <v>0</v>
      </c>
      <c r="E213" s="250">
        <v>0</v>
      </c>
      <c r="F213" s="251">
        <f>+C213+D213-E213</f>
        <v>0</v>
      </c>
      <c r="G213" s="251">
        <v>0</v>
      </c>
      <c r="H213" s="256">
        <f>+F213</f>
        <v>0</v>
      </c>
    </row>
    <row r="214" spans="1:8" ht="12">
      <c r="A214" s="16">
        <v>199900</v>
      </c>
      <c r="B214" s="24" t="s">
        <v>900</v>
      </c>
      <c r="C214" s="91">
        <f aca="true" t="shared" si="48" ref="C214:H214">+SUM(C215:C222)</f>
        <v>3369681</v>
      </c>
      <c r="D214" s="91">
        <f t="shared" si="48"/>
        <v>142951</v>
      </c>
      <c r="E214" s="91">
        <f t="shared" si="48"/>
        <v>350744</v>
      </c>
      <c r="F214" s="91">
        <f t="shared" si="48"/>
        <v>3161888</v>
      </c>
      <c r="G214" s="91">
        <f t="shared" si="48"/>
        <v>0</v>
      </c>
      <c r="H214" s="25">
        <f t="shared" si="48"/>
        <v>3161888</v>
      </c>
    </row>
    <row r="215" spans="1:8" ht="12">
      <c r="A215" s="19">
        <v>199951</v>
      </c>
      <c r="B215" s="23" t="s">
        <v>901</v>
      </c>
      <c r="C215" s="95">
        <v>0</v>
      </c>
      <c r="D215" s="250">
        <v>0</v>
      </c>
      <c r="E215" s="250">
        <v>0</v>
      </c>
      <c r="F215" s="251">
        <f aca="true" t="shared" si="49" ref="F215:F222">+C215+D215-E215</f>
        <v>0</v>
      </c>
      <c r="G215" s="251">
        <v>0</v>
      </c>
      <c r="H215" s="256">
        <f aca="true" t="shared" si="50" ref="H215:H222">+F215</f>
        <v>0</v>
      </c>
    </row>
    <row r="216" spans="1:8" ht="12">
      <c r="A216" s="19">
        <v>199952</v>
      </c>
      <c r="B216" s="23" t="s">
        <v>902</v>
      </c>
      <c r="C216" s="95">
        <v>976340</v>
      </c>
      <c r="D216" s="250">
        <v>142951</v>
      </c>
      <c r="E216" s="250">
        <v>0</v>
      </c>
      <c r="F216" s="251">
        <f t="shared" si="49"/>
        <v>1119291</v>
      </c>
      <c r="G216" s="251">
        <v>0</v>
      </c>
      <c r="H216" s="256">
        <f t="shared" si="50"/>
        <v>1119291</v>
      </c>
    </row>
    <row r="217" spans="1:8" ht="12">
      <c r="A217" s="19">
        <v>199959</v>
      </c>
      <c r="B217" s="23" t="s">
        <v>903</v>
      </c>
      <c r="C217" s="95">
        <v>0</v>
      </c>
      <c r="D217" s="250">
        <v>0</v>
      </c>
      <c r="E217" s="250">
        <v>0</v>
      </c>
      <c r="F217" s="251">
        <f t="shared" si="49"/>
        <v>0</v>
      </c>
      <c r="G217" s="251">
        <v>0</v>
      </c>
      <c r="H217" s="256">
        <f t="shared" si="50"/>
        <v>0</v>
      </c>
    </row>
    <row r="218" spans="1:8" ht="12">
      <c r="A218" s="19">
        <v>199962</v>
      </c>
      <c r="B218" s="23" t="s">
        <v>840</v>
      </c>
      <c r="C218" s="95">
        <v>2393341</v>
      </c>
      <c r="D218" s="250">
        <v>0</v>
      </c>
      <c r="E218" s="250">
        <v>350744</v>
      </c>
      <c r="F218" s="251">
        <f t="shared" si="49"/>
        <v>2042597</v>
      </c>
      <c r="G218" s="251">
        <v>0</v>
      </c>
      <c r="H218" s="256">
        <f t="shared" si="50"/>
        <v>2042597</v>
      </c>
    </row>
    <row r="219" spans="1:8" ht="12">
      <c r="A219" s="19">
        <v>199968</v>
      </c>
      <c r="B219" s="23" t="s">
        <v>904</v>
      </c>
      <c r="C219" s="95">
        <v>0</v>
      </c>
      <c r="D219" s="250">
        <v>0</v>
      </c>
      <c r="E219" s="250">
        <v>0</v>
      </c>
      <c r="F219" s="251">
        <f t="shared" si="49"/>
        <v>0</v>
      </c>
      <c r="G219" s="251">
        <v>0</v>
      </c>
      <c r="H219" s="256">
        <f t="shared" si="50"/>
        <v>0</v>
      </c>
    </row>
    <row r="220" spans="1:8" ht="12">
      <c r="A220" s="19">
        <v>199969</v>
      </c>
      <c r="B220" s="23" t="s">
        <v>905</v>
      </c>
      <c r="C220" s="95">
        <v>0</v>
      </c>
      <c r="D220" s="250">
        <v>0</v>
      </c>
      <c r="E220" s="250">
        <v>0</v>
      </c>
      <c r="F220" s="251">
        <f t="shared" si="49"/>
        <v>0</v>
      </c>
      <c r="G220" s="251">
        <v>0</v>
      </c>
      <c r="H220" s="256">
        <f t="shared" si="50"/>
        <v>0</v>
      </c>
    </row>
    <row r="221" spans="1:8" s="15" customFormat="1" ht="24">
      <c r="A221" s="19">
        <v>199970</v>
      </c>
      <c r="B221" s="23" t="s">
        <v>906</v>
      </c>
      <c r="C221" s="95">
        <v>0</v>
      </c>
      <c r="D221" s="250">
        <v>0</v>
      </c>
      <c r="E221" s="250">
        <v>0</v>
      </c>
      <c r="F221" s="251">
        <f t="shared" si="49"/>
        <v>0</v>
      </c>
      <c r="G221" s="251">
        <v>0</v>
      </c>
      <c r="H221" s="256">
        <f t="shared" si="50"/>
        <v>0</v>
      </c>
    </row>
    <row r="222" spans="1:8" s="15" customFormat="1" ht="24">
      <c r="A222" s="19">
        <v>199971</v>
      </c>
      <c r="B222" s="23" t="s">
        <v>907</v>
      </c>
      <c r="C222" s="95">
        <v>0</v>
      </c>
      <c r="D222" s="250">
        <v>0</v>
      </c>
      <c r="E222" s="250">
        <v>0</v>
      </c>
      <c r="F222" s="251">
        <f t="shared" si="49"/>
        <v>0</v>
      </c>
      <c r="G222" s="251">
        <v>0</v>
      </c>
      <c r="H222" s="256">
        <f t="shared" si="50"/>
        <v>0</v>
      </c>
    </row>
    <row r="223" spans="1:8" s="15" customFormat="1" ht="12">
      <c r="A223" s="16">
        <v>200000</v>
      </c>
      <c r="B223" s="24" t="s">
        <v>908</v>
      </c>
      <c r="C223" s="91">
        <f aca="true" t="shared" si="51" ref="C223:H223">+C224+C227+C289+C298+C309</f>
        <v>830289103</v>
      </c>
      <c r="D223" s="91">
        <f t="shared" si="51"/>
        <v>4956193304</v>
      </c>
      <c r="E223" s="91">
        <f t="shared" si="51"/>
        <v>4916184215</v>
      </c>
      <c r="F223" s="91">
        <f t="shared" si="51"/>
        <v>790280015</v>
      </c>
      <c r="G223" s="91">
        <f t="shared" si="51"/>
        <v>790280015</v>
      </c>
      <c r="H223" s="25">
        <f t="shared" si="51"/>
        <v>0</v>
      </c>
    </row>
    <row r="224" spans="1:8" ht="12">
      <c r="A224" s="16">
        <v>220000</v>
      </c>
      <c r="B224" s="24" t="s">
        <v>909</v>
      </c>
      <c r="C224" s="91">
        <f aca="true" t="shared" si="52" ref="C224:H225">+C225</f>
        <v>27433525</v>
      </c>
      <c r="D224" s="91">
        <f t="shared" si="52"/>
        <v>74229473</v>
      </c>
      <c r="E224" s="91">
        <f t="shared" si="52"/>
        <v>63396914</v>
      </c>
      <c r="F224" s="91">
        <f t="shared" si="52"/>
        <v>16600966</v>
      </c>
      <c r="G224" s="91">
        <f t="shared" si="52"/>
        <v>16600966</v>
      </c>
      <c r="H224" s="25">
        <f t="shared" si="52"/>
        <v>0</v>
      </c>
    </row>
    <row r="225" spans="1:8" s="15" customFormat="1" ht="24">
      <c r="A225" s="16">
        <v>224600</v>
      </c>
      <c r="B225" s="24" t="s">
        <v>910</v>
      </c>
      <c r="C225" s="91">
        <f t="shared" si="52"/>
        <v>27433525</v>
      </c>
      <c r="D225" s="91">
        <f t="shared" si="52"/>
        <v>74229473</v>
      </c>
      <c r="E225" s="91">
        <f t="shared" si="52"/>
        <v>63396914</v>
      </c>
      <c r="F225" s="91">
        <f t="shared" si="52"/>
        <v>16600966</v>
      </c>
      <c r="G225" s="91">
        <f t="shared" si="52"/>
        <v>16600966</v>
      </c>
      <c r="H225" s="25">
        <f t="shared" si="52"/>
        <v>0</v>
      </c>
    </row>
    <row r="226" spans="1:8" s="15" customFormat="1" ht="12">
      <c r="A226" s="19">
        <v>224625</v>
      </c>
      <c r="B226" s="23" t="s">
        <v>911</v>
      </c>
      <c r="C226" s="95">
        <v>27433525</v>
      </c>
      <c r="D226" s="250">
        <v>74229473</v>
      </c>
      <c r="E226" s="250">
        <v>63396914</v>
      </c>
      <c r="F226" s="251">
        <f>+C226-D226+E226</f>
        <v>16600966</v>
      </c>
      <c r="G226" s="251">
        <f>+F226</f>
        <v>16600966</v>
      </c>
      <c r="H226" s="256">
        <v>0</v>
      </c>
    </row>
    <row r="227" spans="1:8" ht="12">
      <c r="A227" s="16">
        <v>240000</v>
      </c>
      <c r="B227" s="24" t="s">
        <v>912</v>
      </c>
      <c r="C227" s="91">
        <f aca="true" t="shared" si="53" ref="C227:H227">+C228+C232+C241+C262+C264+C275+C277+C283+C286</f>
        <v>801519404</v>
      </c>
      <c r="D227" s="91">
        <f t="shared" si="53"/>
        <v>4855938599</v>
      </c>
      <c r="E227" s="91">
        <f t="shared" si="53"/>
        <v>4826957990</v>
      </c>
      <c r="F227" s="91">
        <f t="shared" si="53"/>
        <v>772538795</v>
      </c>
      <c r="G227" s="91">
        <f t="shared" si="53"/>
        <v>772538795</v>
      </c>
      <c r="H227" s="25">
        <f t="shared" si="53"/>
        <v>0</v>
      </c>
    </row>
    <row r="228" spans="1:8" ht="12">
      <c r="A228" s="16">
        <v>240100</v>
      </c>
      <c r="B228" s="24" t="s">
        <v>913</v>
      </c>
      <c r="C228" s="91">
        <f aca="true" t="shared" si="54" ref="C228:H228">+C229+C230+C231</f>
        <v>1015457</v>
      </c>
      <c r="D228" s="91">
        <f t="shared" si="54"/>
        <v>166467686</v>
      </c>
      <c r="E228" s="91">
        <f t="shared" si="54"/>
        <v>167716543</v>
      </c>
      <c r="F228" s="91">
        <f t="shared" si="54"/>
        <v>2264314</v>
      </c>
      <c r="G228" s="91">
        <f t="shared" si="54"/>
        <v>2264314</v>
      </c>
      <c r="H228" s="25">
        <f t="shared" si="54"/>
        <v>0</v>
      </c>
    </row>
    <row r="229" spans="1:8" s="15" customFormat="1" ht="12">
      <c r="A229" s="19">
        <v>240101</v>
      </c>
      <c r="B229" s="23" t="s">
        <v>914</v>
      </c>
      <c r="C229" s="95">
        <v>55050</v>
      </c>
      <c r="D229" s="250">
        <f>748750+102457</f>
        <v>851207</v>
      </c>
      <c r="E229" s="250">
        <f>712760+1+105077</f>
        <v>817838</v>
      </c>
      <c r="F229" s="251">
        <f>+C229-D229+E229</f>
        <v>21681</v>
      </c>
      <c r="G229" s="251">
        <f>+F229</f>
        <v>21681</v>
      </c>
      <c r="H229" s="256">
        <v>0</v>
      </c>
    </row>
    <row r="230" spans="1:8" ht="12">
      <c r="A230" s="19">
        <v>240102</v>
      </c>
      <c r="B230" s="23" t="s">
        <v>915</v>
      </c>
      <c r="C230" s="95">
        <v>960407</v>
      </c>
      <c r="D230" s="250">
        <v>165364272</v>
      </c>
      <c r="E230" s="250">
        <v>166646498</v>
      </c>
      <c r="F230" s="251">
        <f>+C230-D230+E230</f>
        <v>2242633</v>
      </c>
      <c r="G230" s="251">
        <f>+F230</f>
        <v>2242633</v>
      </c>
      <c r="H230" s="256">
        <v>0</v>
      </c>
    </row>
    <row r="231" spans="1:8" ht="12">
      <c r="A231" s="19"/>
      <c r="B231" s="23"/>
      <c r="C231" s="95">
        <v>0</v>
      </c>
      <c r="D231" s="250">
        <v>252207</v>
      </c>
      <c r="E231" s="250">
        <v>252207</v>
      </c>
      <c r="F231" s="251">
        <f>+C231-D231+E231</f>
        <v>0</v>
      </c>
      <c r="G231" s="251">
        <f>+F231</f>
        <v>0</v>
      </c>
      <c r="H231" s="256">
        <v>0</v>
      </c>
    </row>
    <row r="232" spans="1:8" ht="12">
      <c r="A232" s="16">
        <v>240300</v>
      </c>
      <c r="B232" s="24" t="s">
        <v>916</v>
      </c>
      <c r="C232" s="91">
        <f aca="true" t="shared" si="55" ref="C232:H232">+SUM(C233:C240)</f>
        <v>798263736</v>
      </c>
      <c r="D232" s="91">
        <f t="shared" si="55"/>
        <v>4652915573</v>
      </c>
      <c r="E232" s="91">
        <f t="shared" si="55"/>
        <v>4623047450</v>
      </c>
      <c r="F232" s="91">
        <f t="shared" si="55"/>
        <v>768395613</v>
      </c>
      <c r="G232" s="91">
        <f t="shared" si="55"/>
        <v>768395613</v>
      </c>
      <c r="H232" s="25">
        <f t="shared" si="55"/>
        <v>0</v>
      </c>
    </row>
    <row r="233" spans="1:8" ht="24">
      <c r="A233" s="19">
        <v>240303</v>
      </c>
      <c r="B233" s="23" t="s">
        <v>917</v>
      </c>
      <c r="C233" s="95">
        <v>1225</v>
      </c>
      <c r="D233" s="250">
        <v>1668992</v>
      </c>
      <c r="E233" s="250">
        <v>1667767</v>
      </c>
      <c r="F233" s="251">
        <f aca="true" t="shared" si="56" ref="F233:F240">+C233-D233+E233</f>
        <v>0</v>
      </c>
      <c r="G233" s="251">
        <f aca="true" t="shared" si="57" ref="G233:G240">+F233</f>
        <v>0</v>
      </c>
      <c r="H233" s="256">
        <v>0</v>
      </c>
    </row>
    <row r="234" spans="1:8" ht="12">
      <c r="A234" s="19">
        <v>240304</v>
      </c>
      <c r="B234" s="23" t="s">
        <v>918</v>
      </c>
      <c r="C234" s="95">
        <v>79147708</v>
      </c>
      <c r="D234" s="250">
        <v>1213251103</v>
      </c>
      <c r="E234" s="250">
        <f>1134905731+1</f>
        <v>1134905732</v>
      </c>
      <c r="F234" s="251">
        <f t="shared" si="56"/>
        <v>802337</v>
      </c>
      <c r="G234" s="251">
        <f t="shared" si="57"/>
        <v>802337</v>
      </c>
      <c r="H234" s="256">
        <v>0</v>
      </c>
    </row>
    <row r="235" spans="1:8" ht="24">
      <c r="A235" s="19">
        <v>240305</v>
      </c>
      <c r="B235" s="23" t="s">
        <v>919</v>
      </c>
      <c r="C235" s="95">
        <v>11986</v>
      </c>
      <c r="D235" s="250">
        <v>689055</v>
      </c>
      <c r="E235" s="250">
        <v>677069</v>
      </c>
      <c r="F235" s="251">
        <f t="shared" si="56"/>
        <v>0</v>
      </c>
      <c r="G235" s="251">
        <f t="shared" si="57"/>
        <v>0</v>
      </c>
      <c r="H235" s="256">
        <v>0</v>
      </c>
    </row>
    <row r="236" spans="1:8" ht="12">
      <c r="A236" s="19">
        <v>240307</v>
      </c>
      <c r="B236" s="23" t="s">
        <v>920</v>
      </c>
      <c r="C236" s="95">
        <v>0</v>
      </c>
      <c r="D236" s="250">
        <v>0</v>
      </c>
      <c r="E236" s="250">
        <v>0</v>
      </c>
      <c r="F236" s="251">
        <f t="shared" si="56"/>
        <v>0</v>
      </c>
      <c r="G236" s="251">
        <f t="shared" si="57"/>
        <v>0</v>
      </c>
      <c r="H236" s="256">
        <v>0</v>
      </c>
    </row>
    <row r="237" spans="1:8" ht="24">
      <c r="A237" s="19">
        <v>240308</v>
      </c>
      <c r="B237" s="23" t="s">
        <v>921</v>
      </c>
      <c r="C237" s="95">
        <v>0</v>
      </c>
      <c r="D237" s="250">
        <v>0</v>
      </c>
      <c r="E237" s="250">
        <v>0</v>
      </c>
      <c r="F237" s="251">
        <f t="shared" si="56"/>
        <v>0</v>
      </c>
      <c r="G237" s="251">
        <f t="shared" si="57"/>
        <v>0</v>
      </c>
      <c r="H237" s="256">
        <v>0</v>
      </c>
    </row>
    <row r="238" spans="1:8" s="15" customFormat="1" ht="12">
      <c r="A238" s="19">
        <v>240311</v>
      </c>
      <c r="B238" s="23" t="s">
        <v>922</v>
      </c>
      <c r="C238" s="95">
        <v>0</v>
      </c>
      <c r="D238" s="250">
        <v>0</v>
      </c>
      <c r="E238" s="250">
        <v>0</v>
      </c>
      <c r="F238" s="251">
        <f t="shared" si="56"/>
        <v>0</v>
      </c>
      <c r="G238" s="251">
        <f t="shared" si="57"/>
        <v>0</v>
      </c>
      <c r="H238" s="256">
        <v>0</v>
      </c>
    </row>
    <row r="239" spans="1:8" ht="12">
      <c r="A239" s="19">
        <v>240313</v>
      </c>
      <c r="B239" s="23" t="s">
        <v>922</v>
      </c>
      <c r="C239" s="95">
        <v>0</v>
      </c>
      <c r="D239" s="250">
        <v>0</v>
      </c>
      <c r="E239" s="250">
        <v>0</v>
      </c>
      <c r="F239" s="251">
        <f t="shared" si="56"/>
        <v>0</v>
      </c>
      <c r="G239" s="251">
        <f t="shared" si="57"/>
        <v>0</v>
      </c>
      <c r="H239" s="256">
        <v>0</v>
      </c>
    </row>
    <row r="240" spans="1:8" ht="12">
      <c r="A240" s="19">
        <v>240314</v>
      </c>
      <c r="B240" s="23" t="s">
        <v>923</v>
      </c>
      <c r="C240" s="95">
        <v>719102817</v>
      </c>
      <c r="D240" s="250">
        <v>3437306423</v>
      </c>
      <c r="E240" s="250">
        <v>3485796882</v>
      </c>
      <c r="F240" s="251">
        <f t="shared" si="56"/>
        <v>767593276</v>
      </c>
      <c r="G240" s="251">
        <f t="shared" si="57"/>
        <v>767593276</v>
      </c>
      <c r="H240" s="256">
        <v>0</v>
      </c>
    </row>
    <row r="241" spans="1:8" ht="12">
      <c r="A241" s="16">
        <v>242500</v>
      </c>
      <c r="B241" s="24" t="s">
        <v>924</v>
      </c>
      <c r="C241" s="91">
        <f aca="true" t="shared" si="58" ref="C241:H241">+SUM(C242:C261)</f>
        <v>703209</v>
      </c>
      <c r="D241" s="91">
        <f t="shared" si="58"/>
        <v>2928723</v>
      </c>
      <c r="E241" s="91">
        <f t="shared" si="58"/>
        <v>2972548</v>
      </c>
      <c r="F241" s="91">
        <f t="shared" si="58"/>
        <v>747034</v>
      </c>
      <c r="G241" s="91">
        <f t="shared" si="58"/>
        <v>747034</v>
      </c>
      <c r="H241" s="25">
        <f t="shared" si="58"/>
        <v>0</v>
      </c>
    </row>
    <row r="242" spans="1:8" ht="12">
      <c r="A242" s="19">
        <v>242501</v>
      </c>
      <c r="B242" s="23" t="s">
        <v>925</v>
      </c>
      <c r="C242" s="95">
        <v>21924</v>
      </c>
      <c r="D242" s="250">
        <f>377044+206113</f>
        <v>583157</v>
      </c>
      <c r="E242" s="250">
        <f>367616+200373</f>
        <v>567989</v>
      </c>
      <c r="F242" s="251">
        <f aca="true" t="shared" si="59" ref="F242:F261">+C242-D242+E242</f>
        <v>6756</v>
      </c>
      <c r="G242" s="251">
        <f aca="true" t="shared" si="60" ref="G242:G261">+F242</f>
        <v>6756</v>
      </c>
      <c r="H242" s="256">
        <v>0</v>
      </c>
    </row>
    <row r="243" spans="1:8" ht="12">
      <c r="A243" s="19">
        <v>242504</v>
      </c>
      <c r="B243" s="23" t="s">
        <v>926</v>
      </c>
      <c r="C243" s="95">
        <v>25</v>
      </c>
      <c r="D243" s="250">
        <f>223099+10730</f>
        <v>233829</v>
      </c>
      <c r="E243" s="250">
        <f>236604+14510</f>
        <v>251114</v>
      </c>
      <c r="F243" s="251">
        <f t="shared" si="59"/>
        <v>17310</v>
      </c>
      <c r="G243" s="251">
        <f t="shared" si="60"/>
        <v>17310</v>
      </c>
      <c r="H243" s="256">
        <v>0</v>
      </c>
    </row>
    <row r="244" spans="1:8" ht="12">
      <c r="A244" s="19">
        <v>242507</v>
      </c>
      <c r="B244" s="23" t="s">
        <v>3499</v>
      </c>
      <c r="C244" s="95">
        <v>1356</v>
      </c>
      <c r="D244" s="250">
        <v>11452</v>
      </c>
      <c r="E244" s="250">
        <v>11022</v>
      </c>
      <c r="F244" s="251">
        <f t="shared" si="59"/>
        <v>926</v>
      </c>
      <c r="G244" s="251">
        <f t="shared" si="60"/>
        <v>926</v>
      </c>
      <c r="H244" s="256">
        <v>0</v>
      </c>
    </row>
    <row r="245" spans="1:8" ht="12">
      <c r="A245" s="19">
        <v>242508</v>
      </c>
      <c r="B245" s="23" t="s">
        <v>927</v>
      </c>
      <c r="C245" s="95">
        <v>1057</v>
      </c>
      <c r="D245" s="250">
        <v>1057</v>
      </c>
      <c r="E245" s="250">
        <v>0</v>
      </c>
      <c r="F245" s="251">
        <f t="shared" si="59"/>
        <v>0</v>
      </c>
      <c r="G245" s="251">
        <f t="shared" si="60"/>
        <v>0</v>
      </c>
      <c r="H245" s="256">
        <v>0</v>
      </c>
    </row>
    <row r="246" spans="1:8" ht="12">
      <c r="A246" s="19">
        <v>242510</v>
      </c>
      <c r="B246" s="23" t="s">
        <v>847</v>
      </c>
      <c r="C246" s="95">
        <v>0</v>
      </c>
      <c r="D246" s="250">
        <v>0</v>
      </c>
      <c r="E246" s="250">
        <v>0</v>
      </c>
      <c r="F246" s="251">
        <f t="shared" si="59"/>
        <v>0</v>
      </c>
      <c r="G246" s="251">
        <f t="shared" si="60"/>
        <v>0</v>
      </c>
      <c r="H246" s="256">
        <v>0</v>
      </c>
    </row>
    <row r="247" spans="1:8" ht="12">
      <c r="A247" s="19">
        <v>242513</v>
      </c>
      <c r="B247" s="23" t="s">
        <v>928</v>
      </c>
      <c r="C247" s="95">
        <v>1949</v>
      </c>
      <c r="D247" s="250">
        <v>3562</v>
      </c>
      <c r="E247" s="250">
        <v>1613</v>
      </c>
      <c r="F247" s="251">
        <f t="shared" si="59"/>
        <v>0</v>
      </c>
      <c r="G247" s="251">
        <f t="shared" si="60"/>
        <v>0</v>
      </c>
      <c r="H247" s="256">
        <v>0</v>
      </c>
    </row>
    <row r="248" spans="1:8" ht="12">
      <c r="A248" s="19">
        <v>242518</v>
      </c>
      <c r="B248" s="23" t="s">
        <v>929</v>
      </c>
      <c r="C248" s="95">
        <v>71143</v>
      </c>
      <c r="D248" s="250">
        <f>539849+2580</f>
        <v>542429</v>
      </c>
      <c r="E248" s="250">
        <f>468706+2637</f>
        <v>471343</v>
      </c>
      <c r="F248" s="251">
        <f t="shared" si="59"/>
        <v>57</v>
      </c>
      <c r="G248" s="251">
        <f t="shared" si="60"/>
        <v>57</v>
      </c>
      <c r="H248" s="256">
        <v>0</v>
      </c>
    </row>
    <row r="249" spans="1:8" ht="12">
      <c r="A249" s="19">
        <v>242519</v>
      </c>
      <c r="B249" s="23" t="s">
        <v>930</v>
      </c>
      <c r="C249" s="95">
        <v>48764</v>
      </c>
      <c r="D249" s="250">
        <f>335368+2280</f>
        <v>337648</v>
      </c>
      <c r="E249" s="250">
        <f>286604+2377</f>
        <v>288981</v>
      </c>
      <c r="F249" s="251">
        <f t="shared" si="59"/>
        <v>97</v>
      </c>
      <c r="G249" s="251">
        <f t="shared" si="60"/>
        <v>97</v>
      </c>
      <c r="H249" s="256">
        <v>0</v>
      </c>
    </row>
    <row r="250" spans="1:8" ht="12">
      <c r="A250" s="19">
        <v>242520</v>
      </c>
      <c r="B250" s="23" t="s">
        <v>931</v>
      </c>
      <c r="C250" s="95">
        <v>44434</v>
      </c>
      <c r="D250" s="250">
        <f>291830</f>
        <v>291830</v>
      </c>
      <c r="E250" s="250">
        <f>247395+1</f>
        <v>247396</v>
      </c>
      <c r="F250" s="251">
        <f t="shared" si="59"/>
        <v>0</v>
      </c>
      <c r="G250" s="251">
        <f t="shared" si="60"/>
        <v>0</v>
      </c>
      <c r="H250" s="256">
        <v>0</v>
      </c>
    </row>
    <row r="251" spans="1:8" ht="12">
      <c r="A251" s="19">
        <v>242521</v>
      </c>
      <c r="B251" s="23" t="s">
        <v>932</v>
      </c>
      <c r="C251" s="95">
        <v>0</v>
      </c>
      <c r="D251" s="250">
        <v>734</v>
      </c>
      <c r="E251" s="250">
        <v>734</v>
      </c>
      <c r="F251" s="251">
        <f t="shared" si="59"/>
        <v>0</v>
      </c>
      <c r="G251" s="251">
        <f t="shared" si="60"/>
        <v>0</v>
      </c>
      <c r="H251" s="256">
        <v>0</v>
      </c>
    </row>
    <row r="252" spans="1:8" ht="12">
      <c r="A252" s="19">
        <v>242522</v>
      </c>
      <c r="B252" s="23" t="s">
        <v>933</v>
      </c>
      <c r="C252" s="95">
        <v>810</v>
      </c>
      <c r="D252" s="250">
        <f>72271+1</f>
        <v>72272</v>
      </c>
      <c r="E252" s="250">
        <v>71462</v>
      </c>
      <c r="F252" s="251">
        <f t="shared" si="59"/>
        <v>0</v>
      </c>
      <c r="G252" s="251">
        <f t="shared" si="60"/>
        <v>0</v>
      </c>
      <c r="H252" s="256">
        <v>0</v>
      </c>
    </row>
    <row r="253" spans="1:8" ht="12">
      <c r="A253" s="19">
        <v>242523</v>
      </c>
      <c r="B253" s="30" t="s">
        <v>934</v>
      </c>
      <c r="C253" s="95">
        <v>600</v>
      </c>
      <c r="D253" s="250">
        <f>95792+1</f>
        <v>95793</v>
      </c>
      <c r="E253" s="250">
        <v>95193</v>
      </c>
      <c r="F253" s="251">
        <f t="shared" si="59"/>
        <v>0</v>
      </c>
      <c r="G253" s="251">
        <f t="shared" si="60"/>
        <v>0</v>
      </c>
      <c r="H253" s="256">
        <v>0</v>
      </c>
    </row>
    <row r="254" spans="1:8" ht="12">
      <c r="A254" s="19">
        <v>242524</v>
      </c>
      <c r="B254" s="23" t="s">
        <v>935</v>
      </c>
      <c r="C254" s="95">
        <v>493809</v>
      </c>
      <c r="D254" s="250">
        <v>566721</v>
      </c>
      <c r="E254" s="250">
        <v>72912</v>
      </c>
      <c r="F254" s="251">
        <f t="shared" si="59"/>
        <v>0</v>
      </c>
      <c r="G254" s="251">
        <f t="shared" si="60"/>
        <v>0</v>
      </c>
      <c r="H254" s="256">
        <v>0</v>
      </c>
    </row>
    <row r="255" spans="1:8" ht="12">
      <c r="A255" s="19">
        <v>242529</v>
      </c>
      <c r="B255" s="23" t="s">
        <v>936</v>
      </c>
      <c r="C255" s="95">
        <v>0</v>
      </c>
      <c r="D255" s="250">
        <v>0</v>
      </c>
      <c r="E255" s="250">
        <v>0</v>
      </c>
      <c r="F255" s="251">
        <f t="shared" si="59"/>
        <v>0</v>
      </c>
      <c r="G255" s="251">
        <f t="shared" si="60"/>
        <v>0</v>
      </c>
      <c r="H255" s="256">
        <v>0</v>
      </c>
    </row>
    <row r="256" spans="1:8" ht="12">
      <c r="A256" s="19">
        <v>242532</v>
      </c>
      <c r="B256" s="23" t="s">
        <v>937</v>
      </c>
      <c r="C256" s="95">
        <v>1937</v>
      </c>
      <c r="D256" s="250">
        <v>13913</v>
      </c>
      <c r="E256" s="250">
        <v>11976</v>
      </c>
      <c r="F256" s="251">
        <f t="shared" si="59"/>
        <v>0</v>
      </c>
      <c r="G256" s="251">
        <f t="shared" si="60"/>
        <v>0</v>
      </c>
      <c r="H256" s="256">
        <v>0</v>
      </c>
    </row>
    <row r="257" spans="1:8" ht="12">
      <c r="A257" s="19">
        <v>242533</v>
      </c>
      <c r="B257" s="23" t="s">
        <v>938</v>
      </c>
      <c r="C257" s="95">
        <v>0</v>
      </c>
      <c r="D257" s="250">
        <v>0</v>
      </c>
      <c r="E257" s="250">
        <v>0</v>
      </c>
      <c r="F257" s="251">
        <f t="shared" si="59"/>
        <v>0</v>
      </c>
      <c r="G257" s="251">
        <f t="shared" si="60"/>
        <v>0</v>
      </c>
      <c r="H257" s="256">
        <v>0</v>
      </c>
    </row>
    <row r="258" spans="1:8" ht="12">
      <c r="A258" s="19">
        <v>242535</v>
      </c>
      <c r="B258" s="23" t="s">
        <v>939</v>
      </c>
      <c r="C258" s="95">
        <v>1025</v>
      </c>
      <c r="D258" s="250">
        <f>81079+771</f>
        <v>81850</v>
      </c>
      <c r="E258" s="250">
        <f>80053+1+771</f>
        <v>80825</v>
      </c>
      <c r="F258" s="251">
        <f t="shared" si="59"/>
        <v>0</v>
      </c>
      <c r="G258" s="251">
        <f t="shared" si="60"/>
        <v>0</v>
      </c>
      <c r="H258" s="256">
        <v>0</v>
      </c>
    </row>
    <row r="259" spans="1:8" s="15" customFormat="1" ht="12">
      <c r="A259" s="19">
        <v>242541</v>
      </c>
      <c r="B259" s="23" t="s">
        <v>940</v>
      </c>
      <c r="C259" s="95">
        <v>11120</v>
      </c>
      <c r="D259" s="250">
        <v>58075</v>
      </c>
      <c r="E259" s="250">
        <v>768634</v>
      </c>
      <c r="F259" s="251">
        <f t="shared" si="59"/>
        <v>721679</v>
      </c>
      <c r="G259" s="251">
        <f t="shared" si="60"/>
        <v>721679</v>
      </c>
      <c r="H259" s="256">
        <v>0</v>
      </c>
    </row>
    <row r="260" spans="1:8" ht="12">
      <c r="A260" s="19">
        <v>242546</v>
      </c>
      <c r="B260" s="23" t="s">
        <v>941</v>
      </c>
      <c r="C260" s="95">
        <v>0</v>
      </c>
      <c r="D260" s="250">
        <v>13321</v>
      </c>
      <c r="E260" s="250">
        <v>13321</v>
      </c>
      <c r="F260" s="251">
        <f t="shared" si="59"/>
        <v>0</v>
      </c>
      <c r="G260" s="251">
        <f t="shared" si="60"/>
        <v>0</v>
      </c>
      <c r="H260" s="256">
        <v>0</v>
      </c>
    </row>
    <row r="261" spans="1:8" s="15" customFormat="1" ht="12">
      <c r="A261" s="19">
        <v>242590</v>
      </c>
      <c r="B261" s="23" t="s">
        <v>942</v>
      </c>
      <c r="C261" s="95">
        <v>3256</v>
      </c>
      <c r="D261" s="250">
        <f>20675+405</f>
        <v>21080</v>
      </c>
      <c r="E261" s="250">
        <f>17418+1+614</f>
        <v>18033</v>
      </c>
      <c r="F261" s="251">
        <f t="shared" si="59"/>
        <v>209</v>
      </c>
      <c r="G261" s="251">
        <f t="shared" si="60"/>
        <v>209</v>
      </c>
      <c r="H261" s="256">
        <v>0</v>
      </c>
    </row>
    <row r="262" spans="1:8" ht="12">
      <c r="A262" s="16">
        <v>243000</v>
      </c>
      <c r="B262" s="24" t="s">
        <v>943</v>
      </c>
      <c r="C262" s="91">
        <f>+C263</f>
        <v>0</v>
      </c>
      <c r="D262" s="253">
        <v>0</v>
      </c>
      <c r="E262" s="253">
        <v>0</v>
      </c>
      <c r="F262" s="253">
        <v>0</v>
      </c>
      <c r="G262" s="253">
        <v>0</v>
      </c>
      <c r="H262" s="257">
        <v>0</v>
      </c>
    </row>
    <row r="263" spans="1:8" ht="12">
      <c r="A263" s="19">
        <v>243002</v>
      </c>
      <c r="B263" s="23" t="s">
        <v>944</v>
      </c>
      <c r="C263" s="95">
        <v>0</v>
      </c>
      <c r="D263" s="250">
        <v>0</v>
      </c>
      <c r="E263" s="250">
        <v>0</v>
      </c>
      <c r="F263" s="251">
        <f>+C263-D263+E263</f>
        <v>0</v>
      </c>
      <c r="G263" s="251">
        <f>+F263</f>
        <v>0</v>
      </c>
      <c r="H263" s="256">
        <v>0</v>
      </c>
    </row>
    <row r="264" spans="1:8" ht="24">
      <c r="A264" s="16">
        <v>243600</v>
      </c>
      <c r="B264" s="24" t="s">
        <v>945</v>
      </c>
      <c r="C264" s="91">
        <f aca="true" t="shared" si="61" ref="C264:H264">+SUM(C265:C274)</f>
        <v>852178</v>
      </c>
      <c r="D264" s="91">
        <f t="shared" si="61"/>
        <v>2405189</v>
      </c>
      <c r="E264" s="91">
        <f t="shared" si="61"/>
        <v>2395056</v>
      </c>
      <c r="F264" s="91">
        <f t="shared" si="61"/>
        <v>842045</v>
      </c>
      <c r="G264" s="91">
        <f t="shared" si="61"/>
        <v>842045</v>
      </c>
      <c r="H264" s="25">
        <f t="shared" si="61"/>
        <v>0</v>
      </c>
    </row>
    <row r="265" spans="1:8" ht="12">
      <c r="A265" s="19">
        <v>243601</v>
      </c>
      <c r="B265" s="23" t="s">
        <v>946</v>
      </c>
      <c r="C265" s="95">
        <v>46288</v>
      </c>
      <c r="D265" s="250">
        <f>180205+746</f>
        <v>180951</v>
      </c>
      <c r="E265" s="250">
        <f>193370+2221</f>
        <v>195591</v>
      </c>
      <c r="F265" s="251">
        <f aca="true" t="shared" si="62" ref="F265:F274">+C265-D265+E265</f>
        <v>60928</v>
      </c>
      <c r="G265" s="251">
        <f aca="true" t="shared" si="63" ref="G265:G274">+F265</f>
        <v>60928</v>
      </c>
      <c r="H265" s="256">
        <v>0</v>
      </c>
    </row>
    <row r="266" spans="1:8" ht="12">
      <c r="A266" s="19">
        <v>243602</v>
      </c>
      <c r="B266" s="23" t="s">
        <v>947</v>
      </c>
      <c r="C266" s="95">
        <v>0</v>
      </c>
      <c r="D266" s="250">
        <v>0</v>
      </c>
      <c r="E266" s="250">
        <v>0</v>
      </c>
      <c r="F266" s="251">
        <f t="shared" si="62"/>
        <v>0</v>
      </c>
      <c r="G266" s="251">
        <f t="shared" si="63"/>
        <v>0</v>
      </c>
      <c r="H266" s="256">
        <v>0</v>
      </c>
    </row>
    <row r="267" spans="1:8" ht="12">
      <c r="A267" s="19">
        <v>243603</v>
      </c>
      <c r="B267" s="23" t="s">
        <v>948</v>
      </c>
      <c r="C267" s="95">
        <v>166002</v>
      </c>
      <c r="D267" s="250">
        <f>571774+1+10892</f>
        <v>582667</v>
      </c>
      <c r="E267" s="250">
        <f>661349+14704</f>
        <v>676053</v>
      </c>
      <c r="F267" s="251">
        <f t="shared" si="62"/>
        <v>259388</v>
      </c>
      <c r="G267" s="251">
        <f t="shared" si="63"/>
        <v>259388</v>
      </c>
      <c r="H267" s="256">
        <v>0</v>
      </c>
    </row>
    <row r="268" spans="1:8" ht="12">
      <c r="A268" s="19">
        <v>243604</v>
      </c>
      <c r="B268" s="23" t="s">
        <v>949</v>
      </c>
      <c r="C268" s="95">
        <v>0</v>
      </c>
      <c r="D268" s="250">
        <v>0</v>
      </c>
      <c r="E268" s="250">
        <v>0</v>
      </c>
      <c r="F268" s="251">
        <f t="shared" si="62"/>
        <v>0</v>
      </c>
      <c r="G268" s="251">
        <f t="shared" si="63"/>
        <v>0</v>
      </c>
      <c r="H268" s="256">
        <v>0</v>
      </c>
    </row>
    <row r="269" spans="1:8" ht="12">
      <c r="A269" s="19">
        <v>243605</v>
      </c>
      <c r="B269" s="23" t="s">
        <v>849</v>
      </c>
      <c r="C269" s="95">
        <v>209101</v>
      </c>
      <c r="D269" s="250">
        <f>431896+3462</f>
        <v>435358</v>
      </c>
      <c r="E269" s="250">
        <f>298286+4254</f>
        <v>302540</v>
      </c>
      <c r="F269" s="251">
        <f t="shared" si="62"/>
        <v>76283</v>
      </c>
      <c r="G269" s="251">
        <f t="shared" si="63"/>
        <v>76283</v>
      </c>
      <c r="H269" s="256">
        <v>0</v>
      </c>
    </row>
    <row r="270" spans="1:8" ht="12">
      <c r="A270" s="19">
        <v>243607</v>
      </c>
      <c r="B270" s="23" t="s">
        <v>950</v>
      </c>
      <c r="C270" s="95">
        <v>0</v>
      </c>
      <c r="D270" s="250">
        <v>0</v>
      </c>
      <c r="E270" s="250">
        <v>753</v>
      </c>
      <c r="F270" s="251">
        <f t="shared" si="62"/>
        <v>753</v>
      </c>
      <c r="G270" s="251">
        <f t="shared" si="63"/>
        <v>753</v>
      </c>
      <c r="H270" s="256">
        <v>0</v>
      </c>
    </row>
    <row r="271" spans="1:8" ht="12">
      <c r="A271" s="19">
        <v>243608</v>
      </c>
      <c r="B271" s="23" t="s">
        <v>951</v>
      </c>
      <c r="C271" s="95">
        <v>3019</v>
      </c>
      <c r="D271" s="250">
        <f>5150+116</f>
        <v>5266</v>
      </c>
      <c r="E271" s="250">
        <f>12305+1+157</f>
        <v>12463</v>
      </c>
      <c r="F271" s="251">
        <f t="shared" si="62"/>
        <v>10216</v>
      </c>
      <c r="G271" s="251">
        <f t="shared" si="63"/>
        <v>10216</v>
      </c>
      <c r="H271" s="256">
        <v>0</v>
      </c>
    </row>
    <row r="272" spans="1:8" s="15" customFormat="1" ht="12">
      <c r="A272" s="19">
        <v>243610</v>
      </c>
      <c r="B272" s="23" t="s">
        <v>952</v>
      </c>
      <c r="C272" s="95">
        <v>0</v>
      </c>
      <c r="D272" s="250">
        <v>0</v>
      </c>
      <c r="E272" s="250">
        <v>0</v>
      </c>
      <c r="F272" s="251">
        <f t="shared" si="62"/>
        <v>0</v>
      </c>
      <c r="G272" s="251">
        <f t="shared" si="63"/>
        <v>0</v>
      </c>
      <c r="H272" s="256">
        <v>0</v>
      </c>
    </row>
    <row r="273" spans="1:8" ht="24">
      <c r="A273" s="19">
        <v>243625</v>
      </c>
      <c r="B273" s="23" t="s">
        <v>953</v>
      </c>
      <c r="C273" s="95">
        <v>424091</v>
      </c>
      <c r="D273" s="250">
        <f>1051709+1+1073</f>
        <v>1052783</v>
      </c>
      <c r="E273" s="250">
        <f>967448+1241</f>
        <v>968689</v>
      </c>
      <c r="F273" s="251">
        <f t="shared" si="62"/>
        <v>339997</v>
      </c>
      <c r="G273" s="251">
        <f t="shared" si="63"/>
        <v>339997</v>
      </c>
      <c r="H273" s="256">
        <v>0</v>
      </c>
    </row>
    <row r="274" spans="1:8" s="15" customFormat="1" ht="12">
      <c r="A274" s="19">
        <v>243698</v>
      </c>
      <c r="B274" s="23" t="s">
        <v>954</v>
      </c>
      <c r="C274" s="95">
        <v>3677</v>
      </c>
      <c r="D274" s="250">
        <f>148162+2</f>
        <v>148164</v>
      </c>
      <c r="E274" s="250">
        <v>238967</v>
      </c>
      <c r="F274" s="251">
        <f t="shared" si="62"/>
        <v>94480</v>
      </c>
      <c r="G274" s="251">
        <f t="shared" si="63"/>
        <v>94480</v>
      </c>
      <c r="H274" s="256">
        <v>0</v>
      </c>
    </row>
    <row r="275" spans="1:8" ht="24">
      <c r="A275" s="16">
        <v>243700</v>
      </c>
      <c r="B275" s="24" t="s">
        <v>955</v>
      </c>
      <c r="C275" s="91">
        <f aca="true" t="shared" si="64" ref="C275:H275">+C276</f>
        <v>69985</v>
      </c>
      <c r="D275" s="91">
        <f t="shared" si="64"/>
        <v>297704</v>
      </c>
      <c r="E275" s="91">
        <f t="shared" si="64"/>
        <v>288802</v>
      </c>
      <c r="F275" s="91">
        <f t="shared" si="64"/>
        <v>61083</v>
      </c>
      <c r="G275" s="91">
        <f t="shared" si="64"/>
        <v>61083</v>
      </c>
      <c r="H275" s="25">
        <f t="shared" si="64"/>
        <v>0</v>
      </c>
    </row>
    <row r="276" spans="1:8" ht="12">
      <c r="A276" s="19">
        <v>243701</v>
      </c>
      <c r="B276" s="23" t="s">
        <v>956</v>
      </c>
      <c r="C276" s="95">
        <v>69985</v>
      </c>
      <c r="D276" s="250">
        <f>296242+1462</f>
        <v>297704</v>
      </c>
      <c r="E276" s="250">
        <f>286616+2186</f>
        <v>288802</v>
      </c>
      <c r="F276" s="251">
        <f>+C276-D276+E276</f>
        <v>61083</v>
      </c>
      <c r="G276" s="251">
        <f>+F276</f>
        <v>61083</v>
      </c>
      <c r="H276" s="256">
        <v>0</v>
      </c>
    </row>
    <row r="277" spans="1:8" ht="24">
      <c r="A277" s="16">
        <v>244000</v>
      </c>
      <c r="B277" s="24" t="s">
        <v>957</v>
      </c>
      <c r="C277" s="91">
        <f aca="true" t="shared" si="65" ref="C277:H277">+SUM(C278:C282)</f>
        <v>609556</v>
      </c>
      <c r="D277" s="91">
        <f t="shared" si="65"/>
        <v>11425213</v>
      </c>
      <c r="E277" s="91">
        <f t="shared" si="65"/>
        <v>11000080</v>
      </c>
      <c r="F277" s="91">
        <f t="shared" si="65"/>
        <v>184423</v>
      </c>
      <c r="G277" s="91">
        <f t="shared" si="65"/>
        <v>184423</v>
      </c>
      <c r="H277" s="25">
        <f t="shared" si="65"/>
        <v>0</v>
      </c>
    </row>
    <row r="278" spans="1:8" ht="12">
      <c r="A278" s="19">
        <v>244003</v>
      </c>
      <c r="B278" s="23" t="s">
        <v>958</v>
      </c>
      <c r="C278" s="95">
        <v>0</v>
      </c>
      <c r="D278" s="250">
        <v>0</v>
      </c>
      <c r="E278" s="250">
        <v>92049</v>
      </c>
      <c r="F278" s="251">
        <f>+C278-D278+E278</f>
        <v>92049</v>
      </c>
      <c r="G278" s="251">
        <f>+F278</f>
        <v>92049</v>
      </c>
      <c r="H278" s="256">
        <v>0</v>
      </c>
    </row>
    <row r="279" spans="1:8" ht="12">
      <c r="A279" s="19">
        <v>244005</v>
      </c>
      <c r="B279" s="23" t="s">
        <v>959</v>
      </c>
      <c r="C279" s="95">
        <v>0</v>
      </c>
      <c r="D279" s="250">
        <v>0</v>
      </c>
      <c r="E279" s="250">
        <v>0</v>
      </c>
      <c r="F279" s="251">
        <f>+C279-D279+E279</f>
        <v>0</v>
      </c>
      <c r="G279" s="251">
        <f>+F279</f>
        <v>0</v>
      </c>
      <c r="H279" s="256">
        <v>0</v>
      </c>
    </row>
    <row r="280" spans="1:8" s="15" customFormat="1" ht="12">
      <c r="A280" s="19">
        <v>244011</v>
      </c>
      <c r="B280" s="23" t="s">
        <v>960</v>
      </c>
      <c r="C280" s="95">
        <v>609556</v>
      </c>
      <c r="D280" s="250">
        <v>11424913</v>
      </c>
      <c r="E280" s="250">
        <v>10907731</v>
      </c>
      <c r="F280" s="251">
        <f>+C280-D280+E280</f>
        <v>92374</v>
      </c>
      <c r="G280" s="251">
        <f>+F280</f>
        <v>92374</v>
      </c>
      <c r="H280" s="256">
        <v>0</v>
      </c>
    </row>
    <row r="281" spans="1:8" ht="12">
      <c r="A281" s="19">
        <v>244016</v>
      </c>
      <c r="B281" s="23" t="s">
        <v>961</v>
      </c>
      <c r="C281" s="95">
        <v>0</v>
      </c>
      <c r="D281" s="250">
        <v>0</v>
      </c>
      <c r="E281" s="250">
        <v>0</v>
      </c>
      <c r="F281" s="251">
        <f>+C281-D281+E281</f>
        <v>0</v>
      </c>
      <c r="G281" s="251">
        <f>+F281</f>
        <v>0</v>
      </c>
      <c r="H281" s="256">
        <v>0</v>
      </c>
    </row>
    <row r="282" spans="1:8" ht="12">
      <c r="A282" s="19">
        <v>244095</v>
      </c>
      <c r="B282" s="23" t="s">
        <v>962</v>
      </c>
      <c r="C282" s="95">
        <v>0</v>
      </c>
      <c r="D282" s="250">
        <v>300</v>
      </c>
      <c r="E282" s="250">
        <v>300</v>
      </c>
      <c r="F282" s="251">
        <f>+C282-D282+E282</f>
        <v>0</v>
      </c>
      <c r="G282" s="251">
        <f>+F282</f>
        <v>0</v>
      </c>
      <c r="H282" s="256">
        <v>0</v>
      </c>
    </row>
    <row r="283" spans="1:8" s="15" customFormat="1" ht="12">
      <c r="A283" s="16">
        <v>245500</v>
      </c>
      <c r="B283" s="24" t="s">
        <v>963</v>
      </c>
      <c r="C283" s="91">
        <f aca="true" t="shared" si="66" ref="C283:H283">+C284+C285</f>
        <v>207</v>
      </c>
      <c r="D283" s="91">
        <f t="shared" si="66"/>
        <v>153</v>
      </c>
      <c r="E283" s="91">
        <f t="shared" si="66"/>
        <v>0</v>
      </c>
      <c r="F283" s="91">
        <f t="shared" si="66"/>
        <v>54</v>
      </c>
      <c r="G283" s="91">
        <f t="shared" si="66"/>
        <v>54</v>
      </c>
      <c r="H283" s="25">
        <f t="shared" si="66"/>
        <v>0</v>
      </c>
    </row>
    <row r="284" spans="1:8" ht="12">
      <c r="A284" s="19">
        <v>245503</v>
      </c>
      <c r="B284" s="26" t="s">
        <v>964</v>
      </c>
      <c r="C284" s="95">
        <v>207</v>
      </c>
      <c r="D284" s="250">
        <v>153</v>
      </c>
      <c r="E284" s="250">
        <v>0</v>
      </c>
      <c r="F284" s="251">
        <f>+C284-D284+E284</f>
        <v>54</v>
      </c>
      <c r="G284" s="251">
        <f>+F284</f>
        <v>54</v>
      </c>
      <c r="H284" s="256">
        <v>0</v>
      </c>
    </row>
    <row r="285" spans="1:8" ht="12">
      <c r="A285" s="19">
        <v>245506</v>
      </c>
      <c r="B285" s="26" t="s">
        <v>965</v>
      </c>
      <c r="C285" s="95">
        <v>0</v>
      </c>
      <c r="D285" s="250">
        <v>0</v>
      </c>
      <c r="E285" s="250">
        <v>0</v>
      </c>
      <c r="F285" s="251">
        <f>+C285-D285+E285</f>
        <v>0</v>
      </c>
      <c r="G285" s="251">
        <f>+F285</f>
        <v>0</v>
      </c>
      <c r="H285" s="256">
        <v>0</v>
      </c>
    </row>
    <row r="286" spans="1:8" s="15" customFormat="1" ht="12">
      <c r="A286" s="16">
        <v>246000</v>
      </c>
      <c r="B286" s="24" t="s">
        <v>966</v>
      </c>
      <c r="C286" s="91">
        <f aca="true" t="shared" si="67" ref="C286:H286">+C287+C288</f>
        <v>5076</v>
      </c>
      <c r="D286" s="91">
        <f t="shared" si="67"/>
        <v>19498358</v>
      </c>
      <c r="E286" s="91">
        <f t="shared" si="67"/>
        <v>19537511</v>
      </c>
      <c r="F286" s="91">
        <f t="shared" si="67"/>
        <v>44229</v>
      </c>
      <c r="G286" s="91">
        <f t="shared" si="67"/>
        <v>44229</v>
      </c>
      <c r="H286" s="25">
        <f t="shared" si="67"/>
        <v>0</v>
      </c>
    </row>
    <row r="287" spans="1:8" s="15" customFormat="1" ht="12">
      <c r="A287" s="19">
        <v>246002</v>
      </c>
      <c r="B287" s="26" t="s">
        <v>947</v>
      </c>
      <c r="C287" s="95">
        <v>0</v>
      </c>
      <c r="D287" s="250">
        <v>19487762</v>
      </c>
      <c r="E287" s="250">
        <v>19531991</v>
      </c>
      <c r="F287" s="251">
        <f>+C287-D287+E287</f>
        <v>44229</v>
      </c>
      <c r="G287" s="251">
        <f>+F287</f>
        <v>44229</v>
      </c>
      <c r="H287" s="256">
        <v>0</v>
      </c>
    </row>
    <row r="288" spans="1:8" ht="12">
      <c r="A288" s="19">
        <v>249015</v>
      </c>
      <c r="B288" s="26"/>
      <c r="C288" s="95">
        <v>5076</v>
      </c>
      <c r="D288" s="250">
        <v>10596</v>
      </c>
      <c r="E288" s="250">
        <v>5520</v>
      </c>
      <c r="F288" s="251">
        <f>+C288-D288+E288</f>
        <v>0</v>
      </c>
      <c r="G288" s="251">
        <f>+F288</f>
        <v>0</v>
      </c>
      <c r="H288" s="256">
        <v>0</v>
      </c>
    </row>
    <row r="289" spans="1:8" ht="12">
      <c r="A289" s="16">
        <v>250000</v>
      </c>
      <c r="B289" s="27" t="s">
        <v>967</v>
      </c>
      <c r="C289" s="91">
        <f aca="true" t="shared" si="68" ref="C289:H289">+C290</f>
        <v>83973</v>
      </c>
      <c r="D289" s="91">
        <f t="shared" si="68"/>
        <v>4859223</v>
      </c>
      <c r="E289" s="91">
        <f t="shared" si="68"/>
        <v>5717333</v>
      </c>
      <c r="F289" s="91">
        <f t="shared" si="68"/>
        <v>942083</v>
      </c>
      <c r="G289" s="91">
        <f t="shared" si="68"/>
        <v>942083</v>
      </c>
      <c r="H289" s="25">
        <f t="shared" si="68"/>
        <v>0</v>
      </c>
    </row>
    <row r="290" spans="1:8" ht="12">
      <c r="A290" s="16">
        <v>250500</v>
      </c>
      <c r="B290" s="27" t="s">
        <v>968</v>
      </c>
      <c r="C290" s="91">
        <f aca="true" t="shared" si="69" ref="C290:H290">+SUM(C291:C297)</f>
        <v>83973</v>
      </c>
      <c r="D290" s="91">
        <f t="shared" si="69"/>
        <v>4859223</v>
      </c>
      <c r="E290" s="91">
        <f t="shared" si="69"/>
        <v>5717333</v>
      </c>
      <c r="F290" s="91">
        <f t="shared" si="69"/>
        <v>942083</v>
      </c>
      <c r="G290" s="91">
        <f t="shared" si="69"/>
        <v>942083</v>
      </c>
      <c r="H290" s="25">
        <f t="shared" si="69"/>
        <v>0</v>
      </c>
    </row>
    <row r="291" spans="1:8" ht="12">
      <c r="A291" s="19">
        <v>250501</v>
      </c>
      <c r="B291" s="26" t="s">
        <v>969</v>
      </c>
      <c r="C291" s="95">
        <v>41975</v>
      </c>
      <c r="D291" s="250">
        <f>3176275+49063</f>
        <v>3225338</v>
      </c>
      <c r="E291" s="250">
        <f>3134340+49055+3</f>
        <v>3183398</v>
      </c>
      <c r="F291" s="251">
        <f aca="true" t="shared" si="70" ref="F291:F297">+C291-D291+E291</f>
        <v>35</v>
      </c>
      <c r="G291" s="251">
        <f aca="true" t="shared" si="71" ref="G291:G297">+F291</f>
        <v>35</v>
      </c>
      <c r="H291" s="256">
        <v>0</v>
      </c>
    </row>
    <row r="292" spans="1:8" ht="12">
      <c r="A292" s="19">
        <v>250502</v>
      </c>
      <c r="B292" s="26" t="s">
        <v>970</v>
      </c>
      <c r="C292" s="95">
        <v>89</v>
      </c>
      <c r="D292" s="250">
        <v>283918</v>
      </c>
      <c r="E292" s="250">
        <v>320531</v>
      </c>
      <c r="F292" s="251">
        <f t="shared" si="70"/>
        <v>36702</v>
      </c>
      <c r="G292" s="251">
        <f t="shared" si="71"/>
        <v>36702</v>
      </c>
      <c r="H292" s="256">
        <v>0</v>
      </c>
    </row>
    <row r="293" spans="1:8" ht="12">
      <c r="A293" s="19">
        <v>250504</v>
      </c>
      <c r="B293" s="26" t="s">
        <v>971</v>
      </c>
      <c r="C293" s="95">
        <v>36834</v>
      </c>
      <c r="D293" s="250">
        <f>298381+2151</f>
        <v>300532</v>
      </c>
      <c r="E293" s="250">
        <f>673704+2151</f>
        <v>675855</v>
      </c>
      <c r="F293" s="251">
        <f t="shared" si="70"/>
        <v>412157</v>
      </c>
      <c r="G293" s="251">
        <f t="shared" si="71"/>
        <v>412157</v>
      </c>
      <c r="H293" s="256">
        <v>0</v>
      </c>
    </row>
    <row r="294" spans="1:8" ht="12">
      <c r="A294" s="19">
        <v>250505</v>
      </c>
      <c r="B294" s="26" t="s">
        <v>972</v>
      </c>
      <c r="C294" s="95">
        <v>3187</v>
      </c>
      <c r="D294" s="250">
        <f>195274+2269</f>
        <v>197543</v>
      </c>
      <c r="E294" s="250">
        <f>476290+11356</f>
        <v>487646</v>
      </c>
      <c r="F294" s="251">
        <f t="shared" si="70"/>
        <v>293290</v>
      </c>
      <c r="G294" s="251">
        <f t="shared" si="71"/>
        <v>293290</v>
      </c>
      <c r="H294" s="256">
        <v>0</v>
      </c>
    </row>
    <row r="295" spans="1:8" s="15" customFormat="1" ht="12">
      <c r="A295" s="19">
        <v>250506</v>
      </c>
      <c r="B295" s="26" t="s">
        <v>973</v>
      </c>
      <c r="C295" s="95">
        <v>583</v>
      </c>
      <c r="D295" s="250">
        <f>7378+583</f>
        <v>7961</v>
      </c>
      <c r="E295" s="250">
        <f>166787+4275</f>
        <v>171062</v>
      </c>
      <c r="F295" s="251">
        <f t="shared" si="70"/>
        <v>163684</v>
      </c>
      <c r="G295" s="251">
        <f t="shared" si="71"/>
        <v>163684</v>
      </c>
      <c r="H295" s="256">
        <v>0</v>
      </c>
    </row>
    <row r="296" spans="1:8" s="15" customFormat="1" ht="12">
      <c r="A296" s="19">
        <v>250507</v>
      </c>
      <c r="B296" s="26" t="s">
        <v>974</v>
      </c>
      <c r="C296" s="95">
        <v>1194</v>
      </c>
      <c r="D296" s="250">
        <f>750342-1+20208</f>
        <v>770549</v>
      </c>
      <c r="E296" s="250">
        <f>749147+20208</f>
        <v>769355</v>
      </c>
      <c r="F296" s="251">
        <f t="shared" si="70"/>
        <v>0</v>
      </c>
      <c r="G296" s="251">
        <f t="shared" si="71"/>
        <v>0</v>
      </c>
      <c r="H296" s="256">
        <v>0</v>
      </c>
    </row>
    <row r="297" spans="1:8" ht="12">
      <c r="A297" s="19">
        <v>250512</v>
      </c>
      <c r="B297" s="26" t="s">
        <v>975</v>
      </c>
      <c r="C297" s="95">
        <v>111</v>
      </c>
      <c r="D297" s="250">
        <f>69289+4093</f>
        <v>73382</v>
      </c>
      <c r="E297" s="250">
        <f>101952+7534</f>
        <v>109486</v>
      </c>
      <c r="F297" s="251">
        <f t="shared" si="70"/>
        <v>36215</v>
      </c>
      <c r="G297" s="251">
        <f t="shared" si="71"/>
        <v>36215</v>
      </c>
      <c r="H297" s="256">
        <v>0</v>
      </c>
    </row>
    <row r="298" spans="1:8" s="15" customFormat="1" ht="12">
      <c r="A298" s="16">
        <v>270000</v>
      </c>
      <c r="B298" s="21" t="s">
        <v>976</v>
      </c>
      <c r="C298" s="248">
        <f aca="true" t="shared" si="72" ref="C298:H298">+C299+C301</f>
        <v>1059707</v>
      </c>
      <c r="D298" s="248">
        <f t="shared" si="72"/>
        <v>20997072</v>
      </c>
      <c r="E298" s="248">
        <f t="shared" si="72"/>
        <v>19937364</v>
      </c>
      <c r="F298" s="248">
        <f t="shared" si="72"/>
        <v>0</v>
      </c>
      <c r="G298" s="248">
        <f t="shared" si="72"/>
        <v>0</v>
      </c>
      <c r="H298" s="18">
        <f t="shared" si="72"/>
        <v>0</v>
      </c>
    </row>
    <row r="299" spans="1:8" ht="12">
      <c r="A299" s="16">
        <v>271000</v>
      </c>
      <c r="B299" s="21" t="s">
        <v>977</v>
      </c>
      <c r="C299" s="248">
        <f aca="true" t="shared" si="73" ref="C299:H299">+C300</f>
        <v>80000</v>
      </c>
      <c r="D299" s="248">
        <f t="shared" si="73"/>
        <v>19531991</v>
      </c>
      <c r="E299" s="248">
        <f t="shared" si="73"/>
        <v>19451991</v>
      </c>
      <c r="F299" s="248">
        <f t="shared" si="73"/>
        <v>0</v>
      </c>
      <c r="G299" s="248">
        <f t="shared" si="73"/>
        <v>0</v>
      </c>
      <c r="H299" s="18">
        <f t="shared" si="73"/>
        <v>0</v>
      </c>
    </row>
    <row r="300" spans="1:8" ht="12">
      <c r="A300" s="19">
        <v>271005</v>
      </c>
      <c r="B300" s="22" t="s">
        <v>978</v>
      </c>
      <c r="C300" s="249">
        <v>80000</v>
      </c>
      <c r="D300" s="250">
        <v>19531991</v>
      </c>
      <c r="E300" s="250">
        <v>19451991</v>
      </c>
      <c r="F300" s="251">
        <f>+C300-D300+E300</f>
        <v>0</v>
      </c>
      <c r="G300" s="251">
        <f>+F300</f>
        <v>0</v>
      </c>
      <c r="H300" s="256">
        <v>0</v>
      </c>
    </row>
    <row r="301" spans="1:8" ht="24">
      <c r="A301" s="16">
        <v>271500</v>
      </c>
      <c r="B301" s="21" t="s">
        <v>979</v>
      </c>
      <c r="C301" s="248">
        <f aca="true" t="shared" si="74" ref="C301:H301">+SUM(C302:C308)</f>
        <v>979707</v>
      </c>
      <c r="D301" s="248">
        <f t="shared" si="74"/>
        <v>1465081</v>
      </c>
      <c r="E301" s="248">
        <f t="shared" si="74"/>
        <v>485373</v>
      </c>
      <c r="F301" s="248">
        <f t="shared" si="74"/>
        <v>0</v>
      </c>
      <c r="G301" s="248">
        <f t="shared" si="74"/>
        <v>0</v>
      </c>
      <c r="H301" s="18">
        <f t="shared" si="74"/>
        <v>0</v>
      </c>
    </row>
    <row r="302" spans="1:8" ht="12">
      <c r="A302" s="19">
        <v>271501</v>
      </c>
      <c r="B302" s="22" t="s">
        <v>970</v>
      </c>
      <c r="C302" s="249">
        <v>0</v>
      </c>
      <c r="D302" s="250">
        <v>0</v>
      </c>
      <c r="E302" s="250">
        <v>0</v>
      </c>
      <c r="F302" s="251">
        <f aca="true" t="shared" si="75" ref="F302:F307">+C302-D302+E302</f>
        <v>0</v>
      </c>
      <c r="G302" s="251">
        <f aca="true" t="shared" si="76" ref="G302:G308">+F302</f>
        <v>0</v>
      </c>
      <c r="H302" s="256">
        <v>0</v>
      </c>
    </row>
    <row r="303" spans="1:8" ht="12">
      <c r="A303" s="19">
        <v>271503</v>
      </c>
      <c r="B303" s="22" t="s">
        <v>971</v>
      </c>
      <c r="C303" s="249">
        <v>0</v>
      </c>
      <c r="D303" s="250">
        <v>0</v>
      </c>
      <c r="E303" s="250">
        <v>0</v>
      </c>
      <c r="F303" s="251">
        <f t="shared" si="75"/>
        <v>0</v>
      </c>
      <c r="G303" s="251">
        <f t="shared" si="76"/>
        <v>0</v>
      </c>
      <c r="H303" s="256">
        <v>0</v>
      </c>
    </row>
    <row r="304" spans="1:8" ht="12">
      <c r="A304" s="19">
        <v>271504</v>
      </c>
      <c r="B304" s="22" t="s">
        <v>973</v>
      </c>
      <c r="C304" s="249">
        <v>73171</v>
      </c>
      <c r="D304" s="250">
        <f>98842+7842</f>
        <v>106684</v>
      </c>
      <c r="E304" s="250">
        <f>27478+6035</f>
        <v>33513</v>
      </c>
      <c r="F304" s="251">
        <f t="shared" si="75"/>
        <v>0</v>
      </c>
      <c r="G304" s="251">
        <f t="shared" si="76"/>
        <v>0</v>
      </c>
      <c r="H304" s="256">
        <v>0</v>
      </c>
    </row>
    <row r="305" spans="1:8" ht="12">
      <c r="A305" s="19">
        <v>271505</v>
      </c>
      <c r="B305" s="22" t="s">
        <v>980</v>
      </c>
      <c r="C305" s="249">
        <v>0</v>
      </c>
      <c r="D305" s="250">
        <v>0</v>
      </c>
      <c r="E305" s="250">
        <v>0</v>
      </c>
      <c r="F305" s="251">
        <f t="shared" si="75"/>
        <v>0</v>
      </c>
      <c r="G305" s="251">
        <f t="shared" si="76"/>
        <v>0</v>
      </c>
      <c r="H305" s="256">
        <v>0</v>
      </c>
    </row>
    <row r="306" spans="1:8" s="15" customFormat="1" ht="12">
      <c r="A306" s="19">
        <v>271506</v>
      </c>
      <c r="B306" s="22" t="s">
        <v>972</v>
      </c>
      <c r="C306" s="249">
        <v>175155</v>
      </c>
      <c r="D306" s="250">
        <f>208648+11421</f>
        <v>220069</v>
      </c>
      <c r="E306" s="250">
        <f>39098+5816</f>
        <v>44914</v>
      </c>
      <c r="F306" s="251">
        <f t="shared" si="75"/>
        <v>0</v>
      </c>
      <c r="G306" s="251">
        <f t="shared" si="76"/>
        <v>0</v>
      </c>
      <c r="H306" s="256">
        <v>0</v>
      </c>
    </row>
    <row r="307" spans="1:8" s="15" customFormat="1" ht="12">
      <c r="A307" s="19">
        <v>271507</v>
      </c>
      <c r="B307" s="22" t="s">
        <v>975</v>
      </c>
      <c r="C307" s="249">
        <v>264415</v>
      </c>
      <c r="D307" s="250">
        <f>362039+6970</f>
        <v>369009</v>
      </c>
      <c r="E307" s="250">
        <f>102292+2302</f>
        <v>104594</v>
      </c>
      <c r="F307" s="251">
        <f t="shared" si="75"/>
        <v>0</v>
      </c>
      <c r="G307" s="251">
        <f t="shared" si="76"/>
        <v>0</v>
      </c>
      <c r="H307" s="256">
        <v>0</v>
      </c>
    </row>
    <row r="308" spans="1:8" ht="12">
      <c r="A308" s="19">
        <v>271509</v>
      </c>
      <c r="B308" s="22" t="s">
        <v>974</v>
      </c>
      <c r="C308" s="249">
        <v>466966</v>
      </c>
      <c r="D308" s="250">
        <f>749079+20240</f>
        <v>769319</v>
      </c>
      <c r="E308" s="250">
        <f>292147+10205</f>
        <v>302352</v>
      </c>
      <c r="F308" s="251">
        <f>+C308-D308+E308+1</f>
        <v>0</v>
      </c>
      <c r="G308" s="251">
        <f t="shared" si="76"/>
        <v>0</v>
      </c>
      <c r="H308" s="256">
        <v>0</v>
      </c>
    </row>
    <row r="309" spans="1:8" ht="12">
      <c r="A309" s="16">
        <v>290000</v>
      </c>
      <c r="B309" s="21" t="s">
        <v>981</v>
      </c>
      <c r="C309" s="248">
        <f aca="true" t="shared" si="77" ref="C309:H309">+C310+C314+C317</f>
        <v>192494</v>
      </c>
      <c r="D309" s="248">
        <f t="shared" si="77"/>
        <v>168937</v>
      </c>
      <c r="E309" s="248">
        <f t="shared" si="77"/>
        <v>174614</v>
      </c>
      <c r="F309" s="248">
        <f t="shared" si="77"/>
        <v>198171</v>
      </c>
      <c r="G309" s="248">
        <f t="shared" si="77"/>
        <v>198171</v>
      </c>
      <c r="H309" s="18">
        <f t="shared" si="77"/>
        <v>0</v>
      </c>
    </row>
    <row r="310" spans="1:8" ht="12">
      <c r="A310" s="16">
        <v>290500</v>
      </c>
      <c r="B310" s="21" t="s">
        <v>982</v>
      </c>
      <c r="C310" s="248">
        <f aca="true" t="shared" si="78" ref="C310:H310">+C311+C312+C313</f>
        <v>0</v>
      </c>
      <c r="D310" s="248">
        <f t="shared" si="78"/>
        <v>0</v>
      </c>
      <c r="E310" s="248">
        <f t="shared" si="78"/>
        <v>0</v>
      </c>
      <c r="F310" s="248">
        <f t="shared" si="78"/>
        <v>0</v>
      </c>
      <c r="G310" s="248">
        <f t="shared" si="78"/>
        <v>0</v>
      </c>
      <c r="H310" s="18">
        <f t="shared" si="78"/>
        <v>0</v>
      </c>
    </row>
    <row r="311" spans="1:8" s="15" customFormat="1" ht="12">
      <c r="A311" s="19">
        <v>290502</v>
      </c>
      <c r="B311" s="22" t="s">
        <v>983</v>
      </c>
      <c r="C311" s="249">
        <v>0</v>
      </c>
      <c r="D311" s="250">
        <v>0</v>
      </c>
      <c r="E311" s="250">
        <v>0</v>
      </c>
      <c r="F311" s="251">
        <f>+C311-D311+E311</f>
        <v>0</v>
      </c>
      <c r="G311" s="251">
        <f>+F311</f>
        <v>0</v>
      </c>
      <c r="H311" s="256">
        <v>0</v>
      </c>
    </row>
    <row r="312" spans="1:8" ht="12">
      <c r="A312" s="19">
        <v>290503</v>
      </c>
      <c r="B312" s="22" t="s">
        <v>984</v>
      </c>
      <c r="C312" s="249">
        <v>0</v>
      </c>
      <c r="D312" s="250">
        <v>0</v>
      </c>
      <c r="E312" s="250">
        <v>0</v>
      </c>
      <c r="F312" s="251">
        <f>+C312-D312+E312</f>
        <v>0</v>
      </c>
      <c r="G312" s="251">
        <f>+F312</f>
        <v>0</v>
      </c>
      <c r="H312" s="256">
        <v>0</v>
      </c>
    </row>
    <row r="313" spans="1:8" ht="12">
      <c r="A313" s="19">
        <v>290590</v>
      </c>
      <c r="B313" s="22" t="s">
        <v>985</v>
      </c>
      <c r="C313" s="249">
        <v>0</v>
      </c>
      <c r="D313" s="250">
        <v>0</v>
      </c>
      <c r="E313" s="250">
        <v>0</v>
      </c>
      <c r="F313" s="251">
        <f>+C313-D313+E313</f>
        <v>0</v>
      </c>
      <c r="G313" s="251">
        <f>+F313</f>
        <v>0</v>
      </c>
      <c r="H313" s="256">
        <v>0</v>
      </c>
    </row>
    <row r="314" spans="1:8" s="15" customFormat="1" ht="24">
      <c r="A314" s="16">
        <v>291000</v>
      </c>
      <c r="B314" s="21" t="s">
        <v>986</v>
      </c>
      <c r="C314" s="248">
        <f aca="true" t="shared" si="79" ref="C314:H314">+C315+C316</f>
        <v>192494</v>
      </c>
      <c r="D314" s="248">
        <f t="shared" si="79"/>
        <v>168937</v>
      </c>
      <c r="E314" s="248">
        <f t="shared" si="79"/>
        <v>174614</v>
      </c>
      <c r="F314" s="248">
        <f t="shared" si="79"/>
        <v>198171</v>
      </c>
      <c r="G314" s="248">
        <f t="shared" si="79"/>
        <v>198171</v>
      </c>
      <c r="H314" s="18">
        <f t="shared" si="79"/>
        <v>0</v>
      </c>
    </row>
    <row r="315" spans="1:8" ht="12">
      <c r="A315" s="19">
        <v>291007</v>
      </c>
      <c r="B315" s="22" t="s">
        <v>987</v>
      </c>
      <c r="C315" s="249">
        <v>0</v>
      </c>
      <c r="D315" s="250">
        <v>0</v>
      </c>
      <c r="E315" s="250">
        <v>0</v>
      </c>
      <c r="F315" s="251">
        <f>+C315-D315+E315</f>
        <v>0</v>
      </c>
      <c r="G315" s="251">
        <f>+F315</f>
        <v>0</v>
      </c>
      <c r="H315" s="256">
        <v>0</v>
      </c>
    </row>
    <row r="316" spans="1:8" s="15" customFormat="1" ht="12">
      <c r="A316" s="19">
        <v>291090</v>
      </c>
      <c r="B316" s="22" t="s">
        <v>988</v>
      </c>
      <c r="C316" s="249">
        <v>192494</v>
      </c>
      <c r="D316" s="250">
        <v>168937</v>
      </c>
      <c r="E316" s="250">
        <v>174614</v>
      </c>
      <c r="F316" s="251">
        <f>+C316-D316+E316</f>
        <v>198171</v>
      </c>
      <c r="G316" s="251">
        <f>+F316</f>
        <v>198171</v>
      </c>
      <c r="H316" s="256">
        <v>0</v>
      </c>
    </row>
    <row r="317" spans="1:8" s="15" customFormat="1" ht="24">
      <c r="A317" s="16">
        <v>299600</v>
      </c>
      <c r="B317" s="21" t="s">
        <v>989</v>
      </c>
      <c r="C317" s="248">
        <f>+C318</f>
        <v>0</v>
      </c>
      <c r="D317" s="253">
        <f>D318</f>
        <v>0</v>
      </c>
      <c r="E317" s="253">
        <f>E318</f>
        <v>0</v>
      </c>
      <c r="F317" s="253">
        <f>F318</f>
        <v>0</v>
      </c>
      <c r="G317" s="253">
        <f>G318</f>
        <v>0</v>
      </c>
      <c r="H317" s="257">
        <f>H318</f>
        <v>0</v>
      </c>
    </row>
    <row r="318" spans="1:8" s="15" customFormat="1" ht="12">
      <c r="A318" s="19">
        <v>299601</v>
      </c>
      <c r="B318" s="22" t="s">
        <v>990</v>
      </c>
      <c r="C318" s="249">
        <v>0</v>
      </c>
      <c r="D318" s="250">
        <v>0</v>
      </c>
      <c r="E318" s="250">
        <v>0</v>
      </c>
      <c r="F318" s="251">
        <f>+C318-D318+E318</f>
        <v>0</v>
      </c>
      <c r="G318" s="251">
        <f>+F318</f>
        <v>0</v>
      </c>
      <c r="H318" s="256">
        <v>0</v>
      </c>
    </row>
    <row r="319" spans="1:8" ht="12">
      <c r="A319" s="16">
        <v>300000</v>
      </c>
      <c r="B319" s="17" t="s">
        <v>991</v>
      </c>
      <c r="C319" s="248">
        <f aca="true" t="shared" si="80" ref="C319:H319">+C320</f>
        <v>-26258274</v>
      </c>
      <c r="D319" s="248">
        <f t="shared" si="80"/>
        <v>99643337</v>
      </c>
      <c r="E319" s="248">
        <f t="shared" si="80"/>
        <v>3795320</v>
      </c>
      <c r="F319" s="248">
        <f t="shared" si="80"/>
        <v>-122106291</v>
      </c>
      <c r="G319" s="248">
        <f t="shared" si="80"/>
        <v>0</v>
      </c>
      <c r="H319" s="18">
        <f t="shared" si="80"/>
        <v>-122106291</v>
      </c>
    </row>
    <row r="320" spans="1:8" s="15" customFormat="1" ht="12">
      <c r="A320" s="16">
        <v>310000</v>
      </c>
      <c r="B320" s="17" t="s">
        <v>992</v>
      </c>
      <c r="C320" s="248">
        <f aca="true" t="shared" si="81" ref="C320:H320">+C321+C323+C327+C335+C338+C341+C345+C348</f>
        <v>-26258274</v>
      </c>
      <c r="D320" s="248">
        <f t="shared" si="81"/>
        <v>99643337</v>
      </c>
      <c r="E320" s="248">
        <f t="shared" si="81"/>
        <v>3795320</v>
      </c>
      <c r="F320" s="248">
        <f t="shared" si="81"/>
        <v>-122106291</v>
      </c>
      <c r="G320" s="248">
        <f t="shared" si="81"/>
        <v>0</v>
      </c>
      <c r="H320" s="18">
        <f t="shared" si="81"/>
        <v>-122106291</v>
      </c>
    </row>
    <row r="321" spans="1:8" ht="12">
      <c r="A321" s="16">
        <v>310500</v>
      </c>
      <c r="B321" s="17" t="s">
        <v>993</v>
      </c>
      <c r="C321" s="248">
        <f aca="true" t="shared" si="82" ref="C321:H321">+C322</f>
        <v>-57662875</v>
      </c>
      <c r="D321" s="248">
        <f t="shared" si="82"/>
        <v>6804748</v>
      </c>
      <c r="E321" s="248">
        <f t="shared" si="82"/>
        <v>919424</v>
      </c>
      <c r="F321" s="248">
        <f t="shared" si="82"/>
        <v>-63548199</v>
      </c>
      <c r="G321" s="248">
        <f t="shared" si="82"/>
        <v>0</v>
      </c>
      <c r="H321" s="18">
        <f t="shared" si="82"/>
        <v>-63548199</v>
      </c>
    </row>
    <row r="322" spans="1:8" ht="12">
      <c r="A322" s="19">
        <v>310501</v>
      </c>
      <c r="B322" s="31" t="s">
        <v>994</v>
      </c>
      <c r="C322" s="254">
        <v>-57662875</v>
      </c>
      <c r="D322" s="250">
        <f>4991228-1+1813521</f>
        <v>6804748</v>
      </c>
      <c r="E322" s="250">
        <v>919424</v>
      </c>
      <c r="F322" s="251">
        <f>+C322-D322+E322</f>
        <v>-63548199</v>
      </c>
      <c r="G322" s="251">
        <v>0</v>
      </c>
      <c r="H322" s="256">
        <f>+F322</f>
        <v>-63548199</v>
      </c>
    </row>
    <row r="323" spans="1:8" ht="12">
      <c r="A323" s="16">
        <v>311000</v>
      </c>
      <c r="B323" s="17" t="s">
        <v>995</v>
      </c>
      <c r="C323" s="248">
        <f aca="true" t="shared" si="83" ref="C323:H323">+C324+C325+C326</f>
        <v>0</v>
      </c>
      <c r="D323" s="248">
        <f t="shared" si="83"/>
        <v>91661343</v>
      </c>
      <c r="E323" s="248">
        <f t="shared" si="83"/>
        <v>2732945</v>
      </c>
      <c r="F323" s="248">
        <f t="shared" si="83"/>
        <v>-88928398</v>
      </c>
      <c r="G323" s="248">
        <f t="shared" si="83"/>
        <v>0</v>
      </c>
      <c r="H323" s="18">
        <f t="shared" si="83"/>
        <v>-88928398</v>
      </c>
    </row>
    <row r="324" spans="1:8" s="15" customFormat="1" ht="12">
      <c r="A324" s="19">
        <v>311001</v>
      </c>
      <c r="B324" s="20" t="s">
        <v>996</v>
      </c>
      <c r="C324" s="249">
        <v>0</v>
      </c>
      <c r="D324" s="250">
        <v>0</v>
      </c>
      <c r="E324" s="250">
        <v>0</v>
      </c>
      <c r="F324" s="251">
        <f>+C324-D324+E324</f>
        <v>0</v>
      </c>
      <c r="G324" s="251">
        <v>0</v>
      </c>
      <c r="H324" s="256">
        <f>+F324</f>
        <v>0</v>
      </c>
    </row>
    <row r="325" spans="1:8" ht="12">
      <c r="A325" s="19">
        <v>311002</v>
      </c>
      <c r="B325" s="20" t="s">
        <v>997</v>
      </c>
      <c r="C325" s="249">
        <v>0</v>
      </c>
      <c r="D325" s="250">
        <v>88928398</v>
      </c>
      <c r="E325" s="250">
        <v>0</v>
      </c>
      <c r="F325" s="251">
        <f>+C325-D325+E325</f>
        <v>-88928398</v>
      </c>
      <c r="G325" s="251">
        <v>0</v>
      </c>
      <c r="H325" s="256">
        <f>+F325</f>
        <v>-88928398</v>
      </c>
    </row>
    <row r="326" spans="1:8" ht="12">
      <c r="A326" s="19">
        <v>311004</v>
      </c>
      <c r="B326" s="20" t="s">
        <v>998</v>
      </c>
      <c r="C326" s="249">
        <v>0</v>
      </c>
      <c r="D326" s="250">
        <f>1813520+1+919424</f>
        <v>2732945</v>
      </c>
      <c r="E326" s="250">
        <f>919424+1813521</f>
        <v>2732945</v>
      </c>
      <c r="F326" s="251">
        <f>+C326-D326+E326</f>
        <v>0</v>
      </c>
      <c r="G326" s="251">
        <v>0</v>
      </c>
      <c r="H326" s="256">
        <f>+F326</f>
        <v>0</v>
      </c>
    </row>
    <row r="327" spans="1:8" ht="12">
      <c r="A327" s="16">
        <v>311500</v>
      </c>
      <c r="B327" s="17" t="s">
        <v>999</v>
      </c>
      <c r="C327" s="248">
        <f aca="true" t="shared" si="84" ref="C327:H327">+SUM(C328:C334)</f>
        <v>3369681</v>
      </c>
      <c r="D327" s="248">
        <f t="shared" si="84"/>
        <v>350744</v>
      </c>
      <c r="E327" s="248">
        <f t="shared" si="84"/>
        <v>142951</v>
      </c>
      <c r="F327" s="248">
        <f t="shared" si="84"/>
        <v>3161888</v>
      </c>
      <c r="G327" s="248">
        <f t="shared" si="84"/>
        <v>0</v>
      </c>
      <c r="H327" s="18">
        <f t="shared" si="84"/>
        <v>3161888</v>
      </c>
    </row>
    <row r="328" spans="1:8" ht="12">
      <c r="A328" s="19">
        <v>311502</v>
      </c>
      <c r="B328" s="20" t="s">
        <v>1000</v>
      </c>
      <c r="C328" s="249">
        <v>0</v>
      </c>
      <c r="D328" s="250">
        <v>0</v>
      </c>
      <c r="E328" s="250">
        <v>0</v>
      </c>
      <c r="F328" s="251">
        <f aca="true" t="shared" si="85" ref="F328:F334">+C328-D328+E328</f>
        <v>0</v>
      </c>
      <c r="G328" s="251">
        <v>0</v>
      </c>
      <c r="H328" s="256">
        <f aca="true" t="shared" si="86" ref="H328:H334">+F328</f>
        <v>0</v>
      </c>
    </row>
    <row r="329" spans="1:8" ht="12">
      <c r="A329" s="19">
        <v>311551</v>
      </c>
      <c r="B329" s="20" t="s">
        <v>1001</v>
      </c>
      <c r="C329" s="249">
        <v>0</v>
      </c>
      <c r="D329" s="250">
        <v>0</v>
      </c>
      <c r="E329" s="250">
        <v>0</v>
      </c>
      <c r="F329" s="251">
        <f t="shared" si="85"/>
        <v>0</v>
      </c>
      <c r="G329" s="251">
        <v>0</v>
      </c>
      <c r="H329" s="256">
        <f t="shared" si="86"/>
        <v>0</v>
      </c>
    </row>
    <row r="330" spans="1:8" ht="12">
      <c r="A330" s="19">
        <v>311552</v>
      </c>
      <c r="B330" s="20" t="s">
        <v>902</v>
      </c>
      <c r="C330" s="249">
        <v>976340</v>
      </c>
      <c r="D330" s="250">
        <v>0</v>
      </c>
      <c r="E330" s="250">
        <v>142951</v>
      </c>
      <c r="F330" s="251">
        <f t="shared" si="85"/>
        <v>1119291</v>
      </c>
      <c r="G330" s="251">
        <v>0</v>
      </c>
      <c r="H330" s="256">
        <f t="shared" si="86"/>
        <v>1119291</v>
      </c>
    </row>
    <row r="331" spans="1:8" ht="12">
      <c r="A331" s="19">
        <v>311562</v>
      </c>
      <c r="B331" s="20" t="s">
        <v>840</v>
      </c>
      <c r="C331" s="249">
        <v>2393341</v>
      </c>
      <c r="D331" s="250">
        <v>350744</v>
      </c>
      <c r="E331" s="250">
        <v>0</v>
      </c>
      <c r="F331" s="251">
        <f t="shared" si="85"/>
        <v>2042597</v>
      </c>
      <c r="G331" s="251">
        <v>0</v>
      </c>
      <c r="H331" s="256">
        <f t="shared" si="86"/>
        <v>2042597</v>
      </c>
    </row>
    <row r="332" spans="1:8" s="15" customFormat="1" ht="12">
      <c r="A332" s="19">
        <v>311569</v>
      </c>
      <c r="B332" s="20" t="s">
        <v>905</v>
      </c>
      <c r="C332" s="249">
        <v>0</v>
      </c>
      <c r="D332" s="250">
        <v>0</v>
      </c>
      <c r="E332" s="250">
        <v>0</v>
      </c>
      <c r="F332" s="251">
        <f t="shared" si="85"/>
        <v>0</v>
      </c>
      <c r="G332" s="251">
        <v>0</v>
      </c>
      <c r="H332" s="256">
        <f t="shared" si="86"/>
        <v>0</v>
      </c>
    </row>
    <row r="333" spans="1:8" ht="24">
      <c r="A333" s="19">
        <v>311570</v>
      </c>
      <c r="B333" s="20" t="s">
        <v>1002</v>
      </c>
      <c r="C333" s="249">
        <v>0</v>
      </c>
      <c r="D333" s="250">
        <v>0</v>
      </c>
      <c r="E333" s="250">
        <v>0</v>
      </c>
      <c r="F333" s="251">
        <f t="shared" si="85"/>
        <v>0</v>
      </c>
      <c r="G333" s="251">
        <v>0</v>
      </c>
      <c r="H333" s="256">
        <f t="shared" si="86"/>
        <v>0</v>
      </c>
    </row>
    <row r="334" spans="1:8" ht="24">
      <c r="A334" s="19">
        <v>311571</v>
      </c>
      <c r="B334" s="20" t="s">
        <v>907</v>
      </c>
      <c r="C334" s="249">
        <v>0</v>
      </c>
      <c r="D334" s="250">
        <v>0</v>
      </c>
      <c r="E334" s="250">
        <v>0</v>
      </c>
      <c r="F334" s="251">
        <f t="shared" si="85"/>
        <v>0</v>
      </c>
      <c r="G334" s="251">
        <v>0</v>
      </c>
      <c r="H334" s="256">
        <f t="shared" si="86"/>
        <v>0</v>
      </c>
    </row>
    <row r="335" spans="1:8" s="15" customFormat="1" ht="12">
      <c r="A335" s="16">
        <v>311700</v>
      </c>
      <c r="B335" s="17" t="s">
        <v>1003</v>
      </c>
      <c r="C335" s="248">
        <f>+C336+C337</f>
        <v>0</v>
      </c>
      <c r="D335" s="253">
        <f>SUM(D336:D337)</f>
        <v>0</v>
      </c>
      <c r="E335" s="253">
        <f>SUM(E336:E337)</f>
        <v>0</v>
      </c>
      <c r="F335" s="253">
        <f>SUM(F336:F337)</f>
        <v>0</v>
      </c>
      <c r="G335" s="253">
        <f>SUM(G336:G337)</f>
        <v>0</v>
      </c>
      <c r="H335" s="257">
        <f>SUM(H336:H337)</f>
        <v>0</v>
      </c>
    </row>
    <row r="336" spans="1:8" ht="24">
      <c r="A336" s="19">
        <v>311703</v>
      </c>
      <c r="B336" s="20" t="s">
        <v>1578</v>
      </c>
      <c r="C336" s="249">
        <v>0</v>
      </c>
      <c r="D336" s="250">
        <v>0</v>
      </c>
      <c r="E336" s="250">
        <v>0</v>
      </c>
      <c r="F336" s="251">
        <f>+C336-D336+E336</f>
        <v>0</v>
      </c>
      <c r="G336" s="251">
        <v>0</v>
      </c>
      <c r="H336" s="256">
        <f>+F336</f>
        <v>0</v>
      </c>
    </row>
    <row r="337" spans="1:8" ht="12">
      <c r="A337" s="19">
        <v>311725</v>
      </c>
      <c r="B337" s="20" t="s">
        <v>1579</v>
      </c>
      <c r="C337" s="249">
        <v>0</v>
      </c>
      <c r="D337" s="250">
        <v>0</v>
      </c>
      <c r="E337" s="250">
        <v>0</v>
      </c>
      <c r="F337" s="251">
        <f>+C337-D337+E337</f>
        <v>0</v>
      </c>
      <c r="G337" s="251">
        <v>0</v>
      </c>
      <c r="H337" s="256">
        <f>+F337</f>
        <v>0</v>
      </c>
    </row>
    <row r="338" spans="1:8" s="15" customFormat="1" ht="12">
      <c r="A338" s="16">
        <v>312000</v>
      </c>
      <c r="B338" s="21" t="s">
        <v>1580</v>
      </c>
      <c r="C338" s="248">
        <f aca="true" t="shared" si="87" ref="C338:H338">+C339+C340</f>
        <v>879893</v>
      </c>
      <c r="D338" s="248">
        <f t="shared" si="87"/>
        <v>0</v>
      </c>
      <c r="E338" s="248">
        <f t="shared" si="87"/>
        <v>0</v>
      </c>
      <c r="F338" s="248">
        <f t="shared" si="87"/>
        <v>879893</v>
      </c>
      <c r="G338" s="248">
        <f t="shared" si="87"/>
        <v>0</v>
      </c>
      <c r="H338" s="18">
        <f t="shared" si="87"/>
        <v>879893</v>
      </c>
    </row>
    <row r="339" spans="1:8" ht="12">
      <c r="A339" s="19">
        <v>312001</v>
      </c>
      <c r="B339" s="22" t="s">
        <v>1581</v>
      </c>
      <c r="C339" s="249">
        <v>0</v>
      </c>
      <c r="D339" s="250">
        <v>0</v>
      </c>
      <c r="E339" s="250">
        <v>0</v>
      </c>
      <c r="F339" s="251">
        <f>+C339-D339+E339</f>
        <v>0</v>
      </c>
      <c r="G339" s="251">
        <v>0</v>
      </c>
      <c r="H339" s="256">
        <f>+F339</f>
        <v>0</v>
      </c>
    </row>
    <row r="340" spans="1:8" ht="12">
      <c r="A340" s="19">
        <v>312002</v>
      </c>
      <c r="B340" s="20" t="s">
        <v>1582</v>
      </c>
      <c r="C340" s="249">
        <v>879893</v>
      </c>
      <c r="D340" s="250">
        <v>0</v>
      </c>
      <c r="E340" s="250">
        <v>0</v>
      </c>
      <c r="F340" s="251">
        <f>+C340-D340+E340</f>
        <v>879893</v>
      </c>
      <c r="G340" s="251">
        <v>0</v>
      </c>
      <c r="H340" s="256">
        <f>+F340</f>
        <v>879893</v>
      </c>
    </row>
    <row r="341" spans="1:8" ht="12">
      <c r="A341" s="16">
        <v>312500</v>
      </c>
      <c r="B341" s="17" t="s">
        <v>1583</v>
      </c>
      <c r="C341" s="248">
        <f aca="true" t="shared" si="88" ref="C341:H341">+C342+C343+C344</f>
        <v>27155027</v>
      </c>
      <c r="D341" s="248">
        <f t="shared" si="88"/>
        <v>826502</v>
      </c>
      <c r="E341" s="248">
        <f t="shared" si="88"/>
        <v>0</v>
      </c>
      <c r="F341" s="248">
        <f t="shared" si="88"/>
        <v>26328525</v>
      </c>
      <c r="G341" s="248">
        <f t="shared" si="88"/>
        <v>0</v>
      </c>
      <c r="H341" s="18">
        <f t="shared" si="88"/>
        <v>26328525</v>
      </c>
    </row>
    <row r="342" spans="1:8" s="15" customFormat="1" ht="12">
      <c r="A342" s="19">
        <v>312505</v>
      </c>
      <c r="B342" s="20" t="s">
        <v>1584</v>
      </c>
      <c r="C342" s="249">
        <v>10282063</v>
      </c>
      <c r="D342" s="250">
        <v>0</v>
      </c>
      <c r="E342" s="250">
        <v>0</v>
      </c>
      <c r="F342" s="251">
        <f>+C342-D342+E342</f>
        <v>10282063</v>
      </c>
      <c r="G342" s="251">
        <v>0</v>
      </c>
      <c r="H342" s="256">
        <f>+F342</f>
        <v>10282063</v>
      </c>
    </row>
    <row r="343" spans="1:8" ht="12">
      <c r="A343" s="19">
        <v>312506</v>
      </c>
      <c r="B343" s="20" t="s">
        <v>897</v>
      </c>
      <c r="C343" s="249">
        <v>16872964</v>
      </c>
      <c r="D343" s="250">
        <v>826502</v>
      </c>
      <c r="E343" s="250">
        <v>0</v>
      </c>
      <c r="F343" s="251">
        <f>+C343-D343+E343</f>
        <v>16046462</v>
      </c>
      <c r="G343" s="251">
        <v>0</v>
      </c>
      <c r="H343" s="256">
        <f>+F343</f>
        <v>16046462</v>
      </c>
    </row>
    <row r="344" spans="1:8" ht="12">
      <c r="A344" s="19">
        <v>312509</v>
      </c>
      <c r="B344" s="20" t="s">
        <v>1585</v>
      </c>
      <c r="C344" s="249">
        <v>0</v>
      </c>
      <c r="D344" s="250">
        <v>0</v>
      </c>
      <c r="E344" s="250">
        <v>0</v>
      </c>
      <c r="F344" s="251">
        <f>+C344-D344+E344</f>
        <v>0</v>
      </c>
      <c r="G344" s="251">
        <v>0</v>
      </c>
      <c r="H344" s="256">
        <f>+F344</f>
        <v>0</v>
      </c>
    </row>
    <row r="345" spans="1:8" s="15" customFormat="1" ht="12">
      <c r="A345" s="16">
        <v>313000</v>
      </c>
      <c r="B345" s="21" t="s">
        <v>1586</v>
      </c>
      <c r="C345" s="248">
        <f>+C346+C347</f>
        <v>0</v>
      </c>
      <c r="D345" s="253">
        <f>SUM(D346:D347)</f>
        <v>0</v>
      </c>
      <c r="E345" s="253">
        <f>SUM(E346:E347)</f>
        <v>0</v>
      </c>
      <c r="F345" s="253">
        <f>SUM(F346:F347)</f>
        <v>0</v>
      </c>
      <c r="G345" s="253">
        <f>SUM(G346:G347)</f>
        <v>0</v>
      </c>
      <c r="H345" s="257">
        <f>SUM(H346:H347)</f>
        <v>0</v>
      </c>
    </row>
    <row r="346" spans="1:8" ht="12">
      <c r="A346" s="19">
        <v>313001</v>
      </c>
      <c r="B346" s="20" t="s">
        <v>1587</v>
      </c>
      <c r="C346" s="249">
        <v>0</v>
      </c>
      <c r="D346" s="250">
        <v>0</v>
      </c>
      <c r="E346" s="250">
        <v>0</v>
      </c>
      <c r="F346" s="251">
        <f>+C346-D346+E346</f>
        <v>0</v>
      </c>
      <c r="G346" s="251">
        <v>0</v>
      </c>
      <c r="H346" s="256">
        <f>+F346</f>
        <v>0</v>
      </c>
    </row>
    <row r="347" spans="1:8" ht="12">
      <c r="A347" s="19">
        <v>313002</v>
      </c>
      <c r="B347" s="22" t="s">
        <v>1588</v>
      </c>
      <c r="C347" s="249">
        <v>0</v>
      </c>
      <c r="D347" s="250">
        <v>0</v>
      </c>
      <c r="E347" s="250">
        <v>0</v>
      </c>
      <c r="F347" s="251">
        <f>+C347-D347+E347</f>
        <v>0</v>
      </c>
      <c r="G347" s="251">
        <v>0</v>
      </c>
      <c r="H347" s="256">
        <f>+F347</f>
        <v>0</v>
      </c>
    </row>
    <row r="348" spans="1:8" ht="24">
      <c r="A348" s="16">
        <v>313800</v>
      </c>
      <c r="B348" s="17" t="s">
        <v>1589</v>
      </c>
      <c r="C348" s="248">
        <f>+SUM(C349:C353)</f>
        <v>0</v>
      </c>
      <c r="D348" s="253">
        <f>SUM(D349:D353)</f>
        <v>0</v>
      </c>
      <c r="E348" s="253">
        <f>SUM(E349:E353)</f>
        <v>0</v>
      </c>
      <c r="F348" s="253">
        <f>SUM(F349:F353)</f>
        <v>0</v>
      </c>
      <c r="G348" s="253">
        <f>SUM(G349:G353)</f>
        <v>0</v>
      </c>
      <c r="H348" s="257">
        <f>SUM(H349:H353)</f>
        <v>0</v>
      </c>
    </row>
    <row r="349" spans="1:8" ht="12">
      <c r="A349" s="19">
        <v>313801</v>
      </c>
      <c r="B349" s="20" t="s">
        <v>1590</v>
      </c>
      <c r="C349" s="249">
        <v>0</v>
      </c>
      <c r="D349" s="250">
        <v>0</v>
      </c>
      <c r="E349" s="250">
        <v>0</v>
      </c>
      <c r="F349" s="251">
        <f>+C349-D349+E349</f>
        <v>0</v>
      </c>
      <c r="G349" s="251">
        <v>0</v>
      </c>
      <c r="H349" s="256">
        <f>+F349</f>
        <v>0</v>
      </c>
    </row>
    <row r="350" spans="1:8" ht="12">
      <c r="A350" s="19">
        <v>313804</v>
      </c>
      <c r="B350" s="20" t="s">
        <v>896</v>
      </c>
      <c r="C350" s="249">
        <v>0</v>
      </c>
      <c r="D350" s="250">
        <v>0</v>
      </c>
      <c r="E350" s="250">
        <v>0</v>
      </c>
      <c r="F350" s="251">
        <f>+C350-D350+E350</f>
        <v>0</v>
      </c>
      <c r="G350" s="251">
        <v>0</v>
      </c>
      <c r="H350" s="256">
        <f>+F350</f>
        <v>0</v>
      </c>
    </row>
    <row r="351" spans="1:8" s="15" customFormat="1" ht="12">
      <c r="A351" s="19">
        <v>313805</v>
      </c>
      <c r="B351" s="20" t="s">
        <v>1584</v>
      </c>
      <c r="C351" s="249">
        <v>0</v>
      </c>
      <c r="D351" s="250">
        <v>0</v>
      </c>
      <c r="E351" s="250">
        <v>0</v>
      </c>
      <c r="F351" s="251">
        <f>+C351-D351+E351</f>
        <v>0</v>
      </c>
      <c r="G351" s="251">
        <v>0</v>
      </c>
      <c r="H351" s="256">
        <f>+F351</f>
        <v>0</v>
      </c>
    </row>
    <row r="352" spans="1:8" s="15" customFormat="1" ht="12">
      <c r="A352" s="19">
        <v>313806</v>
      </c>
      <c r="B352" s="20" t="s">
        <v>1000</v>
      </c>
      <c r="C352" s="249">
        <v>0</v>
      </c>
      <c r="D352" s="250">
        <v>0</v>
      </c>
      <c r="E352" s="250">
        <v>0</v>
      </c>
      <c r="F352" s="251">
        <f>+C352-D352+E352</f>
        <v>0</v>
      </c>
      <c r="G352" s="251">
        <v>0</v>
      </c>
      <c r="H352" s="256">
        <f>+F352</f>
        <v>0</v>
      </c>
    </row>
    <row r="353" spans="1:8" s="15" customFormat="1" ht="12">
      <c r="A353" s="19">
        <v>313812</v>
      </c>
      <c r="B353" s="20" t="s">
        <v>990</v>
      </c>
      <c r="C353" s="249">
        <v>0</v>
      </c>
      <c r="D353" s="250">
        <v>0</v>
      </c>
      <c r="E353" s="250">
        <v>0</v>
      </c>
      <c r="F353" s="251">
        <f>+C353-D353+E353</f>
        <v>0</v>
      </c>
      <c r="G353" s="251">
        <v>0</v>
      </c>
      <c r="H353" s="256">
        <f>+F353</f>
        <v>0</v>
      </c>
    </row>
    <row r="354" spans="1:8" ht="12">
      <c r="A354" s="32">
        <v>400000</v>
      </c>
      <c r="B354" s="33" t="s">
        <v>1591</v>
      </c>
      <c r="C354" s="91">
        <f aca="true" t="shared" si="89" ref="C354:H354">+C355+C371+C379+C382+C401</f>
        <v>8681690457</v>
      </c>
      <c r="D354" s="91">
        <f t="shared" si="89"/>
        <v>100267181</v>
      </c>
      <c r="E354" s="91">
        <f t="shared" si="89"/>
        <v>4157844590</v>
      </c>
      <c r="F354" s="91">
        <f t="shared" si="89"/>
        <v>12739267866</v>
      </c>
      <c r="G354" s="91">
        <f t="shared" si="89"/>
        <v>0</v>
      </c>
      <c r="H354" s="25">
        <f t="shared" si="89"/>
        <v>12739267866</v>
      </c>
    </row>
    <row r="355" spans="1:8" ht="12">
      <c r="A355" s="32">
        <v>410000</v>
      </c>
      <c r="B355" s="33" t="s">
        <v>1592</v>
      </c>
      <c r="C355" s="91">
        <f aca="true" t="shared" si="90" ref="C355:H355">+C356+C363+C368</f>
        <v>104320548</v>
      </c>
      <c r="D355" s="91">
        <f t="shared" si="90"/>
        <v>36179317</v>
      </c>
      <c r="E355" s="91">
        <f t="shared" si="90"/>
        <v>73338759</v>
      </c>
      <c r="F355" s="91">
        <f t="shared" si="90"/>
        <v>141479990</v>
      </c>
      <c r="G355" s="91">
        <f t="shared" si="90"/>
        <v>0</v>
      </c>
      <c r="H355" s="25">
        <f t="shared" si="90"/>
        <v>141479990</v>
      </c>
    </row>
    <row r="356" spans="1:8" ht="12">
      <c r="A356" s="32">
        <v>411000</v>
      </c>
      <c r="B356" s="33" t="s">
        <v>1593</v>
      </c>
      <c r="C356" s="91">
        <f aca="true" t="shared" si="91" ref="C356:H356">+SUM(C357:C362)</f>
        <v>25023882</v>
      </c>
      <c r="D356" s="91">
        <f t="shared" si="91"/>
        <v>25000985</v>
      </c>
      <c r="E356" s="91">
        <f t="shared" si="91"/>
        <v>379557</v>
      </c>
      <c r="F356" s="91">
        <f t="shared" si="91"/>
        <v>402454</v>
      </c>
      <c r="G356" s="91">
        <f t="shared" si="91"/>
        <v>0</v>
      </c>
      <c r="H356" s="25">
        <f t="shared" si="91"/>
        <v>402454</v>
      </c>
    </row>
    <row r="357" spans="1:8" ht="12">
      <c r="A357" s="34">
        <v>411001</v>
      </c>
      <c r="B357" s="35" t="s">
        <v>3470</v>
      </c>
      <c r="C357" s="95">
        <v>25000904</v>
      </c>
      <c r="D357" s="250">
        <f>25214320-213436+1</f>
        <v>25000885</v>
      </c>
      <c r="E357" s="250">
        <v>213415</v>
      </c>
      <c r="F357" s="251">
        <f aca="true" t="shared" si="92" ref="F357:F362">+C357-D357+E357</f>
        <v>213434</v>
      </c>
      <c r="G357" s="251">
        <v>0</v>
      </c>
      <c r="H357" s="256">
        <f aca="true" t="shared" si="93" ref="H357:H362">+F357</f>
        <v>213434</v>
      </c>
    </row>
    <row r="358" spans="1:8" ht="12">
      <c r="A358" s="34">
        <v>411002</v>
      </c>
      <c r="B358" s="35" t="s">
        <v>3471</v>
      </c>
      <c r="C358" s="95">
        <v>15051</v>
      </c>
      <c r="D358" s="250">
        <v>0</v>
      </c>
      <c r="E358" s="250">
        <v>136</v>
      </c>
      <c r="F358" s="251">
        <f t="shared" si="92"/>
        <v>15187</v>
      </c>
      <c r="G358" s="251">
        <v>0</v>
      </c>
      <c r="H358" s="256">
        <f t="shared" si="93"/>
        <v>15187</v>
      </c>
    </row>
    <row r="359" spans="1:8" ht="12">
      <c r="A359" s="34">
        <v>411016</v>
      </c>
      <c r="B359" s="35" t="s">
        <v>1594</v>
      </c>
      <c r="C359" s="95">
        <v>7827</v>
      </c>
      <c r="D359" s="250">
        <v>0</v>
      </c>
      <c r="E359" s="250">
        <v>166006</v>
      </c>
      <c r="F359" s="251">
        <f t="shared" si="92"/>
        <v>173833</v>
      </c>
      <c r="G359" s="251">
        <v>0</v>
      </c>
      <c r="H359" s="256">
        <f t="shared" si="93"/>
        <v>173833</v>
      </c>
    </row>
    <row r="360" spans="1:8" s="15" customFormat="1" ht="12">
      <c r="A360" s="34">
        <v>411021</v>
      </c>
      <c r="B360" s="35" t="s">
        <v>1595</v>
      </c>
      <c r="C360" s="95">
        <v>0</v>
      </c>
      <c r="D360" s="250">
        <v>0</v>
      </c>
      <c r="E360" s="250">
        <v>0</v>
      </c>
      <c r="F360" s="251">
        <f t="shared" si="92"/>
        <v>0</v>
      </c>
      <c r="G360" s="251">
        <v>0</v>
      </c>
      <c r="H360" s="256">
        <f t="shared" si="93"/>
        <v>0</v>
      </c>
    </row>
    <row r="361" spans="1:8" ht="12">
      <c r="A361" s="34">
        <v>411032</v>
      </c>
      <c r="B361" s="35" t="s">
        <v>1596</v>
      </c>
      <c r="C361" s="95">
        <v>0</v>
      </c>
      <c r="D361" s="250">
        <v>0</v>
      </c>
      <c r="E361" s="250">
        <v>0</v>
      </c>
      <c r="F361" s="251">
        <f t="shared" si="92"/>
        <v>0</v>
      </c>
      <c r="G361" s="251">
        <v>0</v>
      </c>
      <c r="H361" s="256">
        <f t="shared" si="93"/>
        <v>0</v>
      </c>
    </row>
    <row r="362" spans="1:8" ht="12">
      <c r="A362" s="34">
        <v>411090</v>
      </c>
      <c r="B362" s="35" t="s">
        <v>1597</v>
      </c>
      <c r="C362" s="95">
        <v>100</v>
      </c>
      <c r="D362" s="250">
        <v>100</v>
      </c>
      <c r="E362" s="250">
        <v>0</v>
      </c>
      <c r="F362" s="251">
        <f t="shared" si="92"/>
        <v>0</v>
      </c>
      <c r="G362" s="251">
        <v>0</v>
      </c>
      <c r="H362" s="256">
        <f t="shared" si="93"/>
        <v>0</v>
      </c>
    </row>
    <row r="363" spans="1:8" ht="12">
      <c r="A363" s="32">
        <v>412000</v>
      </c>
      <c r="B363" s="33" t="s">
        <v>1598</v>
      </c>
      <c r="C363" s="91">
        <f aca="true" t="shared" si="94" ref="C363:H363">+SUM(C364:C367)</f>
        <v>79296666</v>
      </c>
      <c r="D363" s="91">
        <f t="shared" si="94"/>
        <v>11178332</v>
      </c>
      <c r="E363" s="91">
        <f t="shared" si="94"/>
        <v>72959202</v>
      </c>
      <c r="F363" s="91">
        <f t="shared" si="94"/>
        <v>141077536</v>
      </c>
      <c r="G363" s="91">
        <f t="shared" si="94"/>
        <v>0</v>
      </c>
      <c r="H363" s="25">
        <f t="shared" si="94"/>
        <v>141077536</v>
      </c>
    </row>
    <row r="364" spans="1:8" ht="24">
      <c r="A364" s="34">
        <v>412014</v>
      </c>
      <c r="B364" s="35" t="s">
        <v>1599</v>
      </c>
      <c r="C364" s="95">
        <v>75943302</v>
      </c>
      <c r="D364" s="250">
        <f>147654337-136476005</f>
        <v>11178332</v>
      </c>
      <c r="E364" s="250">
        <f>71711036-1376801</f>
        <v>70334235</v>
      </c>
      <c r="F364" s="251">
        <f>+C364-D364+E364</f>
        <v>135099205</v>
      </c>
      <c r="G364" s="251">
        <v>0</v>
      </c>
      <c r="H364" s="256">
        <f>+F364</f>
        <v>135099205</v>
      </c>
    </row>
    <row r="365" spans="1:8" s="15" customFormat="1" ht="12">
      <c r="A365" s="34">
        <v>412015</v>
      </c>
      <c r="B365" s="35" t="s">
        <v>3475</v>
      </c>
      <c r="C365" s="95">
        <v>1924551</v>
      </c>
      <c r="D365" s="250">
        <v>0</v>
      </c>
      <c r="E365" s="250">
        <v>731641</v>
      </c>
      <c r="F365" s="251">
        <f>+C365-D365+E365</f>
        <v>2656192</v>
      </c>
      <c r="G365" s="251">
        <v>0</v>
      </c>
      <c r="H365" s="256">
        <f>+F365</f>
        <v>2656192</v>
      </c>
    </row>
    <row r="366" spans="1:8" ht="24">
      <c r="A366" s="34">
        <v>412043</v>
      </c>
      <c r="B366" s="35" t="s">
        <v>1600</v>
      </c>
      <c r="C366" s="95">
        <v>1428813</v>
      </c>
      <c r="D366" s="250">
        <v>0</v>
      </c>
      <c r="E366" s="250">
        <v>1893326</v>
      </c>
      <c r="F366" s="251">
        <f>+C366-D366+E366</f>
        <v>3322139</v>
      </c>
      <c r="G366" s="251">
        <v>0</v>
      </c>
      <c r="H366" s="256">
        <f>+F366</f>
        <v>3322139</v>
      </c>
    </row>
    <row r="367" spans="1:8" ht="12">
      <c r="A367" s="34">
        <v>412090</v>
      </c>
      <c r="B367" s="35" t="s">
        <v>1601</v>
      </c>
      <c r="C367" s="95">
        <v>0</v>
      </c>
      <c r="D367" s="250">
        <v>0</v>
      </c>
      <c r="E367" s="250">
        <v>0</v>
      </c>
      <c r="F367" s="251">
        <f>+C367-D367+E367</f>
        <v>0</v>
      </c>
      <c r="G367" s="251">
        <v>0</v>
      </c>
      <c r="H367" s="256">
        <f>+F367</f>
        <v>0</v>
      </c>
    </row>
    <row r="368" spans="1:8" s="15" customFormat="1" ht="12">
      <c r="A368" s="32">
        <v>419500</v>
      </c>
      <c r="B368" s="33" t="s">
        <v>1602</v>
      </c>
      <c r="C368" s="91">
        <f>+C369+C370</f>
        <v>0</v>
      </c>
      <c r="D368" s="253">
        <f>SUM(D369:D370)</f>
        <v>0</v>
      </c>
      <c r="E368" s="253">
        <f>SUM(E369:E370)</f>
        <v>0</v>
      </c>
      <c r="F368" s="253">
        <f>SUM(F369:F370)</f>
        <v>0</v>
      </c>
      <c r="G368" s="253">
        <f>SUM(G369:G370)</f>
        <v>0</v>
      </c>
      <c r="H368" s="257">
        <f>SUM(H369:H370)</f>
        <v>0</v>
      </c>
    </row>
    <row r="369" spans="1:8" s="15" customFormat="1" ht="12">
      <c r="A369" s="34">
        <v>419502</v>
      </c>
      <c r="B369" s="35" t="s">
        <v>1603</v>
      </c>
      <c r="C369" s="95">
        <v>0</v>
      </c>
      <c r="D369" s="250">
        <v>0</v>
      </c>
      <c r="E369" s="250">
        <v>0</v>
      </c>
      <c r="F369" s="251">
        <f>+C369-D369+E369</f>
        <v>0</v>
      </c>
      <c r="G369" s="251">
        <v>0</v>
      </c>
      <c r="H369" s="256">
        <f>+F369</f>
        <v>0</v>
      </c>
    </row>
    <row r="370" spans="1:8" ht="12">
      <c r="A370" s="34">
        <v>419504</v>
      </c>
      <c r="B370" s="35" t="s">
        <v>1604</v>
      </c>
      <c r="C370" s="95">
        <v>0</v>
      </c>
      <c r="D370" s="250">
        <v>0</v>
      </c>
      <c r="E370" s="250">
        <v>0</v>
      </c>
      <c r="F370" s="251">
        <f>+C370-D370+E370</f>
        <v>0</v>
      </c>
      <c r="G370" s="251">
        <v>0</v>
      </c>
      <c r="H370" s="256">
        <f>+F370</f>
        <v>0</v>
      </c>
    </row>
    <row r="371" spans="1:8" ht="12">
      <c r="A371" s="32">
        <v>430000</v>
      </c>
      <c r="B371" s="33" t="s">
        <v>1605</v>
      </c>
      <c r="C371" s="91">
        <f>+C372+C375+C377</f>
        <v>0</v>
      </c>
      <c r="D371" s="253">
        <f>D372+D375+D377</f>
        <v>0</v>
      </c>
      <c r="E371" s="253">
        <f>E372+E375+E377</f>
        <v>0</v>
      </c>
      <c r="F371" s="253">
        <f>F372+F375+F377</f>
        <v>0</v>
      </c>
      <c r="G371" s="253">
        <f>G372+G375+G377</f>
        <v>0</v>
      </c>
      <c r="H371" s="257">
        <f>H372+H375+H377</f>
        <v>0</v>
      </c>
    </row>
    <row r="372" spans="1:8" s="15" customFormat="1" ht="12">
      <c r="A372" s="32">
        <v>430500</v>
      </c>
      <c r="B372" s="33" t="s">
        <v>1606</v>
      </c>
      <c r="C372" s="91">
        <f>+C373+C374</f>
        <v>0</v>
      </c>
      <c r="D372" s="253">
        <f>SUM(D373:D374)</f>
        <v>0</v>
      </c>
      <c r="E372" s="253">
        <f>SUM(E373:E374)</f>
        <v>0</v>
      </c>
      <c r="F372" s="253">
        <f>SUM(F373:F374)</f>
        <v>0</v>
      </c>
      <c r="G372" s="253">
        <f>SUM(G373:G374)</f>
        <v>0</v>
      </c>
      <c r="H372" s="257">
        <f>SUM(H373:H374)</f>
        <v>0</v>
      </c>
    </row>
    <row r="373" spans="1:8" ht="24">
      <c r="A373" s="34">
        <v>430512</v>
      </c>
      <c r="B373" s="35" t="s">
        <v>1607</v>
      </c>
      <c r="C373" s="95">
        <v>0</v>
      </c>
      <c r="D373" s="250">
        <v>0</v>
      </c>
      <c r="E373" s="250">
        <v>0</v>
      </c>
      <c r="F373" s="251">
        <f>+C373-D373+E373</f>
        <v>0</v>
      </c>
      <c r="G373" s="251">
        <v>0</v>
      </c>
      <c r="H373" s="256">
        <f>+F373</f>
        <v>0</v>
      </c>
    </row>
    <row r="374" spans="1:8" s="15" customFormat="1" ht="12">
      <c r="A374" s="34">
        <v>430515</v>
      </c>
      <c r="B374" s="35" t="s">
        <v>1608</v>
      </c>
      <c r="C374" s="95">
        <v>0</v>
      </c>
      <c r="D374" s="250">
        <v>0</v>
      </c>
      <c r="E374" s="250">
        <v>0</v>
      </c>
      <c r="F374" s="251">
        <f>+C374-D374+E374</f>
        <v>0</v>
      </c>
      <c r="G374" s="251">
        <v>0</v>
      </c>
      <c r="H374" s="256">
        <f>+F374</f>
        <v>0</v>
      </c>
    </row>
    <row r="375" spans="1:8" ht="12">
      <c r="A375" s="32">
        <v>439000</v>
      </c>
      <c r="B375" s="33" t="s">
        <v>1609</v>
      </c>
      <c r="C375" s="91">
        <f>+C376</f>
        <v>0</v>
      </c>
      <c r="D375" s="253">
        <f>D376</f>
        <v>0</v>
      </c>
      <c r="E375" s="253">
        <f>E376</f>
        <v>0</v>
      </c>
      <c r="F375" s="253">
        <f>F376</f>
        <v>0</v>
      </c>
      <c r="G375" s="253">
        <f>G376</f>
        <v>0</v>
      </c>
      <c r="H375" s="257">
        <f>H376</f>
        <v>0</v>
      </c>
    </row>
    <row r="376" spans="1:8" s="15" customFormat="1" ht="12">
      <c r="A376" s="34">
        <v>439023</v>
      </c>
      <c r="B376" s="35" t="s">
        <v>3499</v>
      </c>
      <c r="C376" s="95">
        <v>0</v>
      </c>
      <c r="D376" s="250">
        <v>0</v>
      </c>
      <c r="E376" s="250">
        <v>0</v>
      </c>
      <c r="F376" s="251">
        <f>+C376-D376+E376</f>
        <v>0</v>
      </c>
      <c r="G376" s="251">
        <v>0</v>
      </c>
      <c r="H376" s="256">
        <f>+F376</f>
        <v>0</v>
      </c>
    </row>
    <row r="377" spans="1:8" s="15" customFormat="1" ht="24">
      <c r="A377" s="32">
        <v>439500</v>
      </c>
      <c r="B377" s="33" t="s">
        <v>1610</v>
      </c>
      <c r="C377" s="91">
        <f>+C378</f>
        <v>0</v>
      </c>
      <c r="D377" s="253">
        <f>D378</f>
        <v>0</v>
      </c>
      <c r="E377" s="253">
        <f>E378</f>
        <v>0</v>
      </c>
      <c r="F377" s="253">
        <f>F378</f>
        <v>0</v>
      </c>
      <c r="G377" s="253">
        <f>G378</f>
        <v>0</v>
      </c>
      <c r="H377" s="257">
        <f>H378</f>
        <v>0</v>
      </c>
    </row>
    <row r="378" spans="1:8" ht="12">
      <c r="A378" s="34">
        <v>439501</v>
      </c>
      <c r="B378" s="35" t="s">
        <v>3478</v>
      </c>
      <c r="C378" s="95">
        <v>0</v>
      </c>
      <c r="D378" s="250">
        <v>0</v>
      </c>
      <c r="E378" s="250">
        <v>0</v>
      </c>
      <c r="F378" s="251">
        <f>+C378-D378+E378</f>
        <v>0</v>
      </c>
      <c r="G378" s="251">
        <v>0</v>
      </c>
      <c r="H378" s="256">
        <f>+F378</f>
        <v>0</v>
      </c>
    </row>
    <row r="379" spans="1:8" s="15" customFormat="1" ht="12">
      <c r="A379" s="32">
        <v>440000</v>
      </c>
      <c r="B379" s="33" t="s">
        <v>1611</v>
      </c>
      <c r="C379" s="91">
        <f>+C380</f>
        <v>0</v>
      </c>
      <c r="D379" s="253">
        <f>D380</f>
        <v>0</v>
      </c>
      <c r="E379" s="253">
        <f>E380</f>
        <v>0</v>
      </c>
      <c r="F379" s="253">
        <f aca="true" t="shared" si="95" ref="F379:H380">F380</f>
        <v>0</v>
      </c>
      <c r="G379" s="253">
        <f t="shared" si="95"/>
        <v>0</v>
      </c>
      <c r="H379" s="257">
        <f t="shared" si="95"/>
        <v>0</v>
      </c>
    </row>
    <row r="380" spans="1:8" s="15" customFormat="1" ht="24">
      <c r="A380" s="32">
        <v>440300</v>
      </c>
      <c r="B380" s="33" t="s">
        <v>1612</v>
      </c>
      <c r="C380" s="91">
        <f>+C381</f>
        <v>0</v>
      </c>
      <c r="D380" s="253">
        <f>D381</f>
        <v>0</v>
      </c>
      <c r="E380" s="253">
        <f>E381</f>
        <v>0</v>
      </c>
      <c r="F380" s="253">
        <f t="shared" si="95"/>
        <v>0</v>
      </c>
      <c r="G380" s="253">
        <f t="shared" si="95"/>
        <v>0</v>
      </c>
      <c r="H380" s="257">
        <f t="shared" si="95"/>
        <v>0</v>
      </c>
    </row>
    <row r="381" spans="1:8" ht="12">
      <c r="A381" s="34">
        <v>440301</v>
      </c>
      <c r="B381" s="35" t="s">
        <v>1613</v>
      </c>
      <c r="C381" s="95">
        <v>0</v>
      </c>
      <c r="D381" s="250">
        <v>0</v>
      </c>
      <c r="E381" s="250">
        <v>0</v>
      </c>
      <c r="F381" s="251">
        <f>+C381-D381+E381</f>
        <v>0</v>
      </c>
      <c r="G381" s="251">
        <v>0</v>
      </c>
      <c r="H381" s="256">
        <f>+F381</f>
        <v>0</v>
      </c>
    </row>
    <row r="382" spans="1:8" ht="24">
      <c r="A382" s="32">
        <v>470000</v>
      </c>
      <c r="B382" s="33" t="s">
        <v>1614</v>
      </c>
      <c r="C382" s="91">
        <f aca="true" t="shared" si="96" ref="C382:H382">+C383+C389+C393+C399</f>
        <v>8442510187</v>
      </c>
      <c r="D382" s="91">
        <f t="shared" si="96"/>
        <v>61182400</v>
      </c>
      <c r="E382" s="91">
        <f t="shared" si="96"/>
        <v>3924734003</v>
      </c>
      <c r="F382" s="91">
        <f t="shared" si="96"/>
        <v>12306061790</v>
      </c>
      <c r="G382" s="91">
        <f t="shared" si="96"/>
        <v>0</v>
      </c>
      <c r="H382" s="25">
        <f t="shared" si="96"/>
        <v>12306061790</v>
      </c>
    </row>
    <row r="383" spans="1:8" ht="24">
      <c r="A383" s="32">
        <v>470500</v>
      </c>
      <c r="B383" s="33" t="s">
        <v>1615</v>
      </c>
      <c r="C383" s="91">
        <f aca="true" t="shared" si="97" ref="C383:H383">+SUM(C384:C388)</f>
        <v>8423808844</v>
      </c>
      <c r="D383" s="91">
        <f t="shared" si="97"/>
        <v>832</v>
      </c>
      <c r="E383" s="91">
        <f t="shared" si="97"/>
        <v>3819501798</v>
      </c>
      <c r="F383" s="91">
        <f t="shared" si="97"/>
        <v>12243309810</v>
      </c>
      <c r="G383" s="91">
        <f t="shared" si="97"/>
        <v>0</v>
      </c>
      <c r="H383" s="25">
        <f t="shared" si="97"/>
        <v>12243309810</v>
      </c>
    </row>
    <row r="384" spans="1:8" ht="12">
      <c r="A384" s="34">
        <v>470501</v>
      </c>
      <c r="B384" s="35" t="s">
        <v>1616</v>
      </c>
      <c r="C384" s="95">
        <v>11347532</v>
      </c>
      <c r="D384" s="250">
        <v>0</v>
      </c>
      <c r="E384" s="250">
        <v>4987911</v>
      </c>
      <c r="F384" s="251">
        <f>+C384-D384+E384</f>
        <v>16335443</v>
      </c>
      <c r="G384" s="251">
        <v>0</v>
      </c>
      <c r="H384" s="256">
        <f>+F384</f>
        <v>16335443</v>
      </c>
    </row>
    <row r="385" spans="1:8" ht="12">
      <c r="A385" s="34">
        <v>470502</v>
      </c>
      <c r="B385" s="35" t="s">
        <v>1617</v>
      </c>
      <c r="C385" s="95">
        <v>1594730</v>
      </c>
      <c r="D385" s="250">
        <v>832</v>
      </c>
      <c r="E385" s="250">
        <v>693445</v>
      </c>
      <c r="F385" s="251">
        <f>+C385-D385+E385</f>
        <v>2287343</v>
      </c>
      <c r="G385" s="251">
        <v>0</v>
      </c>
      <c r="H385" s="256">
        <f>+F385</f>
        <v>2287343</v>
      </c>
    </row>
    <row r="386" spans="1:8" s="15" customFormat="1" ht="12">
      <c r="A386" s="34">
        <v>470505</v>
      </c>
      <c r="B386" s="35" t="s">
        <v>1618</v>
      </c>
      <c r="C386" s="95">
        <v>147211982</v>
      </c>
      <c r="D386" s="250"/>
      <c r="E386" s="250">
        <v>96297531</v>
      </c>
      <c r="F386" s="251">
        <f>+C386-D386+E386</f>
        <v>243509513</v>
      </c>
      <c r="G386" s="251">
        <v>0</v>
      </c>
      <c r="H386" s="256">
        <f>+F386</f>
        <v>243509513</v>
      </c>
    </row>
    <row r="387" spans="1:8" ht="12">
      <c r="A387" s="34">
        <v>470506</v>
      </c>
      <c r="B387" s="35" t="s">
        <v>1619</v>
      </c>
      <c r="C387" s="95">
        <v>8263654600</v>
      </c>
      <c r="D387" s="250"/>
      <c r="E387" s="250">
        <v>3717522911</v>
      </c>
      <c r="F387" s="251">
        <f>+C387-D387+E387</f>
        <v>11981177511</v>
      </c>
      <c r="G387" s="251">
        <v>0</v>
      </c>
      <c r="H387" s="256">
        <f>+F387</f>
        <v>11981177511</v>
      </c>
    </row>
    <row r="388" spans="1:8" ht="12">
      <c r="A388" s="34">
        <v>470507</v>
      </c>
      <c r="B388" s="35" t="s">
        <v>1620</v>
      </c>
      <c r="C388" s="95">
        <v>0</v>
      </c>
      <c r="D388" s="250">
        <v>0</v>
      </c>
      <c r="E388" s="250">
        <v>0</v>
      </c>
      <c r="F388" s="251">
        <f>+C388-D388+E388</f>
        <v>0</v>
      </c>
      <c r="G388" s="251">
        <v>0</v>
      </c>
      <c r="H388" s="256">
        <f>+F388</f>
        <v>0</v>
      </c>
    </row>
    <row r="389" spans="1:8" ht="24">
      <c r="A389" s="32">
        <v>472000</v>
      </c>
      <c r="B389" s="33" t="s">
        <v>1621</v>
      </c>
      <c r="C389" s="91">
        <f aca="true" t="shared" si="98" ref="C389:H389">+SUM(C390:C392)</f>
        <v>797</v>
      </c>
      <c r="D389" s="91">
        <f t="shared" si="98"/>
        <v>0</v>
      </c>
      <c r="E389" s="91">
        <f t="shared" si="98"/>
        <v>0</v>
      </c>
      <c r="F389" s="91">
        <f t="shared" si="98"/>
        <v>797</v>
      </c>
      <c r="G389" s="91">
        <f t="shared" si="98"/>
        <v>0</v>
      </c>
      <c r="H389" s="25">
        <f t="shared" si="98"/>
        <v>797</v>
      </c>
    </row>
    <row r="390" spans="1:8" s="15" customFormat="1" ht="12">
      <c r="A390" s="34">
        <v>472002</v>
      </c>
      <c r="B390" s="35" t="s">
        <v>1603</v>
      </c>
      <c r="C390" s="95">
        <v>797</v>
      </c>
      <c r="D390" s="250"/>
      <c r="E390" s="250">
        <v>0</v>
      </c>
      <c r="F390" s="251">
        <f>+C390-D390+E390</f>
        <v>797</v>
      </c>
      <c r="G390" s="251">
        <v>0</v>
      </c>
      <c r="H390" s="256">
        <f>+F390</f>
        <v>797</v>
      </c>
    </row>
    <row r="391" spans="1:8" ht="12">
      <c r="A391" s="34">
        <v>472003</v>
      </c>
      <c r="B391" s="35" t="s">
        <v>1622</v>
      </c>
      <c r="C391" s="95">
        <v>0</v>
      </c>
      <c r="D391" s="250">
        <v>0</v>
      </c>
      <c r="E391" s="250">
        <v>0</v>
      </c>
      <c r="F391" s="251">
        <f>+C391-D391+E391</f>
        <v>0</v>
      </c>
      <c r="G391" s="251">
        <v>0</v>
      </c>
      <c r="H391" s="256">
        <f>+F391</f>
        <v>0</v>
      </c>
    </row>
    <row r="392" spans="1:8" ht="12">
      <c r="A392" s="34">
        <v>472005</v>
      </c>
      <c r="B392" s="35" t="s">
        <v>1623</v>
      </c>
      <c r="C392" s="95">
        <v>0</v>
      </c>
      <c r="D392" s="250">
        <v>0</v>
      </c>
      <c r="E392" s="250">
        <v>0</v>
      </c>
      <c r="F392" s="251">
        <f>+C392-D392+E392</f>
        <v>0</v>
      </c>
      <c r="G392" s="251">
        <v>0</v>
      </c>
      <c r="H392" s="256">
        <f>+F392</f>
        <v>0</v>
      </c>
    </row>
    <row r="393" spans="1:8" ht="24">
      <c r="A393" s="32">
        <v>472200</v>
      </c>
      <c r="B393" s="33" t="s">
        <v>1624</v>
      </c>
      <c r="C393" s="91">
        <f aca="true" t="shared" si="99" ref="C393:H393">+SUM(C394:C398)</f>
        <v>18696028</v>
      </c>
      <c r="D393" s="91">
        <f t="shared" si="99"/>
        <v>61181568</v>
      </c>
      <c r="E393" s="91">
        <f t="shared" si="99"/>
        <v>105232205</v>
      </c>
      <c r="F393" s="91">
        <f t="shared" si="99"/>
        <v>62746665</v>
      </c>
      <c r="G393" s="91">
        <f t="shared" si="99"/>
        <v>0</v>
      </c>
      <c r="H393" s="25">
        <f t="shared" si="99"/>
        <v>62746665</v>
      </c>
    </row>
    <row r="394" spans="1:8" ht="12">
      <c r="A394" s="32">
        <v>472201</v>
      </c>
      <c r="B394" s="35" t="s">
        <v>1625</v>
      </c>
      <c r="C394" s="95">
        <v>0</v>
      </c>
      <c r="D394" s="250">
        <v>0</v>
      </c>
      <c r="E394" s="250">
        <v>19162013</v>
      </c>
      <c r="F394" s="251">
        <f>+C394-D394+E394</f>
        <v>19162013</v>
      </c>
      <c r="G394" s="251">
        <v>0</v>
      </c>
      <c r="H394" s="256">
        <f>+F394</f>
        <v>19162013</v>
      </c>
    </row>
    <row r="395" spans="1:8" s="15" customFormat="1" ht="12">
      <c r="A395" s="34">
        <v>472203</v>
      </c>
      <c r="B395" s="35" t="s">
        <v>1626</v>
      </c>
      <c r="C395" s="95">
        <v>1990733</v>
      </c>
      <c r="D395" s="250">
        <v>0</v>
      </c>
      <c r="E395" s="250">
        <v>27413483</v>
      </c>
      <c r="F395" s="251">
        <f>+C395-D395+E395</f>
        <v>29404216</v>
      </c>
      <c r="G395" s="251">
        <v>0</v>
      </c>
      <c r="H395" s="256">
        <f>+F395</f>
        <v>29404216</v>
      </c>
    </row>
    <row r="396" spans="1:8" ht="24">
      <c r="A396" s="34">
        <v>472205</v>
      </c>
      <c r="B396" s="35" t="s">
        <v>1627</v>
      </c>
      <c r="C396" s="95">
        <v>6233114</v>
      </c>
      <c r="D396" s="250">
        <v>0</v>
      </c>
      <c r="E396" s="250">
        <v>7947322</v>
      </c>
      <c r="F396" s="251">
        <f>+C396-D396+E396</f>
        <v>14180436</v>
      </c>
      <c r="G396" s="251">
        <v>0</v>
      </c>
      <c r="H396" s="256">
        <f>+F396</f>
        <v>14180436</v>
      </c>
    </row>
    <row r="397" spans="1:8" s="15" customFormat="1" ht="12">
      <c r="A397" s="34">
        <v>472206</v>
      </c>
      <c r="B397" s="35" t="s">
        <v>1628</v>
      </c>
      <c r="C397" s="95">
        <v>0</v>
      </c>
      <c r="D397" s="250">
        <v>1893326</v>
      </c>
      <c r="E397" s="250">
        <v>1893326</v>
      </c>
      <c r="F397" s="251">
        <f>+C397-D397+E397</f>
        <v>0</v>
      </c>
      <c r="G397" s="251">
        <v>0</v>
      </c>
      <c r="H397" s="256">
        <f>+F397</f>
        <v>0</v>
      </c>
    </row>
    <row r="398" spans="1:8" s="15" customFormat="1" ht="24">
      <c r="A398" s="34">
        <v>472290</v>
      </c>
      <c r="B398" s="35" t="s">
        <v>1629</v>
      </c>
      <c r="C398" s="95">
        <v>10472181</v>
      </c>
      <c r="D398" s="250">
        <v>59288242</v>
      </c>
      <c r="E398" s="250">
        <v>48816061</v>
      </c>
      <c r="F398" s="251">
        <f>+C398-D398+E398</f>
        <v>0</v>
      </c>
      <c r="G398" s="251">
        <v>0</v>
      </c>
      <c r="H398" s="256">
        <f>+F398</f>
        <v>0</v>
      </c>
    </row>
    <row r="399" spans="1:8" ht="24">
      <c r="A399" s="32">
        <v>472500</v>
      </c>
      <c r="B399" s="33" t="s">
        <v>1630</v>
      </c>
      <c r="C399" s="91">
        <f aca="true" t="shared" si="100" ref="C399:H399">+C400</f>
        <v>4518</v>
      </c>
      <c r="D399" s="91">
        <f t="shared" si="100"/>
        <v>0</v>
      </c>
      <c r="E399" s="91">
        <f t="shared" si="100"/>
        <v>0</v>
      </c>
      <c r="F399" s="91">
        <f t="shared" si="100"/>
        <v>4518</v>
      </c>
      <c r="G399" s="91">
        <f t="shared" si="100"/>
        <v>0</v>
      </c>
      <c r="H399" s="25">
        <f t="shared" si="100"/>
        <v>4518</v>
      </c>
    </row>
    <row r="400" spans="1:8" ht="12">
      <c r="A400" s="34">
        <v>472501</v>
      </c>
      <c r="B400" s="35" t="s">
        <v>889</v>
      </c>
      <c r="C400" s="95">
        <v>4518</v>
      </c>
      <c r="D400" s="250">
        <v>0</v>
      </c>
      <c r="E400" s="250">
        <v>0</v>
      </c>
      <c r="F400" s="251">
        <f>+C400-D400+E400</f>
        <v>4518</v>
      </c>
      <c r="G400" s="251">
        <v>0</v>
      </c>
      <c r="H400" s="256">
        <f>+F400</f>
        <v>4518</v>
      </c>
    </row>
    <row r="401" spans="1:8" ht="12">
      <c r="A401" s="32">
        <v>480000</v>
      </c>
      <c r="B401" s="33" t="s">
        <v>1631</v>
      </c>
      <c r="C401" s="91">
        <f aca="true" t="shared" si="101" ref="C401:H401">+C402+C410+C412+C424</f>
        <v>134859722</v>
      </c>
      <c r="D401" s="91">
        <f t="shared" si="101"/>
        <v>2905464</v>
      </c>
      <c r="E401" s="91">
        <f t="shared" si="101"/>
        <v>159771828</v>
      </c>
      <c r="F401" s="91">
        <f t="shared" si="101"/>
        <v>291726086</v>
      </c>
      <c r="G401" s="91">
        <f t="shared" si="101"/>
        <v>0</v>
      </c>
      <c r="H401" s="25">
        <f t="shared" si="101"/>
        <v>291726086</v>
      </c>
    </row>
    <row r="402" spans="1:8" ht="12">
      <c r="A402" s="32">
        <v>480500</v>
      </c>
      <c r="B402" s="33" t="s">
        <v>1632</v>
      </c>
      <c r="C402" s="91">
        <f aca="true" t="shared" si="102" ref="C402:H402">+SUM(C403:C409)</f>
        <v>7099917</v>
      </c>
      <c r="D402" s="91">
        <f t="shared" si="102"/>
        <v>2449767</v>
      </c>
      <c r="E402" s="91">
        <f t="shared" si="102"/>
        <v>35333364</v>
      </c>
      <c r="F402" s="91">
        <f t="shared" si="102"/>
        <v>39983514</v>
      </c>
      <c r="G402" s="91">
        <f t="shared" si="102"/>
        <v>0</v>
      </c>
      <c r="H402" s="25">
        <f t="shared" si="102"/>
        <v>39983514</v>
      </c>
    </row>
    <row r="403" spans="1:8" ht="12">
      <c r="A403" s="34">
        <v>480504</v>
      </c>
      <c r="B403" s="35" t="s">
        <v>1633</v>
      </c>
      <c r="C403" s="95">
        <v>0</v>
      </c>
      <c r="D403" s="250">
        <v>0</v>
      </c>
      <c r="E403" s="250">
        <v>0</v>
      </c>
      <c r="F403" s="251">
        <f aca="true" t="shared" si="103" ref="F403:F409">+C403-D403+E403</f>
        <v>0</v>
      </c>
      <c r="G403" s="251">
        <v>0</v>
      </c>
      <c r="H403" s="256">
        <f aca="true" t="shared" si="104" ref="H403:H409">+F403</f>
        <v>0</v>
      </c>
    </row>
    <row r="404" spans="1:8" ht="12">
      <c r="A404" s="34">
        <v>480512</v>
      </c>
      <c r="B404" s="35" t="s">
        <v>1634</v>
      </c>
      <c r="C404" s="95">
        <v>0</v>
      </c>
      <c r="D404" s="250">
        <v>0</v>
      </c>
      <c r="E404" s="250">
        <v>0</v>
      </c>
      <c r="F404" s="251">
        <f t="shared" si="103"/>
        <v>0</v>
      </c>
      <c r="G404" s="251">
        <v>0</v>
      </c>
      <c r="H404" s="256">
        <f t="shared" si="104"/>
        <v>0</v>
      </c>
    </row>
    <row r="405" spans="1:8" s="15" customFormat="1" ht="12">
      <c r="A405" s="34">
        <v>480522</v>
      </c>
      <c r="B405" s="35" t="s">
        <v>1635</v>
      </c>
      <c r="C405" s="95">
        <v>1235073</v>
      </c>
      <c r="D405" s="250">
        <v>2449767</v>
      </c>
      <c r="E405" s="250">
        <f>1902383+37933</f>
        <v>1940316</v>
      </c>
      <c r="F405" s="251">
        <f t="shared" si="103"/>
        <v>725622</v>
      </c>
      <c r="G405" s="251">
        <v>0</v>
      </c>
      <c r="H405" s="256">
        <f t="shared" si="104"/>
        <v>725622</v>
      </c>
    </row>
    <row r="406" spans="1:8" ht="12">
      <c r="A406" s="34">
        <v>480544</v>
      </c>
      <c r="B406" s="35" t="s">
        <v>1636</v>
      </c>
      <c r="C406" s="95">
        <v>0</v>
      </c>
      <c r="D406" s="250">
        <v>0</v>
      </c>
      <c r="E406" s="250">
        <v>0</v>
      </c>
      <c r="F406" s="251">
        <f t="shared" si="103"/>
        <v>0</v>
      </c>
      <c r="G406" s="251">
        <v>0</v>
      </c>
      <c r="H406" s="256">
        <f t="shared" si="104"/>
        <v>0</v>
      </c>
    </row>
    <row r="407" spans="1:8" s="15" customFormat="1" ht="24">
      <c r="A407" s="34">
        <v>480545</v>
      </c>
      <c r="B407" s="35" t="s">
        <v>1637</v>
      </c>
      <c r="C407" s="95">
        <v>5864844</v>
      </c>
      <c r="D407" s="250">
        <v>0</v>
      </c>
      <c r="E407" s="250">
        <v>5652279</v>
      </c>
      <c r="F407" s="251">
        <f t="shared" si="103"/>
        <v>11517123</v>
      </c>
      <c r="G407" s="251">
        <v>0</v>
      </c>
      <c r="H407" s="256">
        <f t="shared" si="104"/>
        <v>11517123</v>
      </c>
    </row>
    <row r="408" spans="1:8" ht="24">
      <c r="A408" s="34">
        <v>480555</v>
      </c>
      <c r="B408" s="35" t="s">
        <v>1638</v>
      </c>
      <c r="C408" s="95">
        <v>0</v>
      </c>
      <c r="D408" s="250">
        <v>0</v>
      </c>
      <c r="E408" s="250">
        <v>15079</v>
      </c>
      <c r="F408" s="251">
        <f t="shared" si="103"/>
        <v>15079</v>
      </c>
      <c r="G408" s="251">
        <v>0</v>
      </c>
      <c r="H408" s="256">
        <f t="shared" si="104"/>
        <v>15079</v>
      </c>
    </row>
    <row r="409" spans="1:8" ht="12">
      <c r="A409" s="34">
        <v>480590</v>
      </c>
      <c r="B409" s="35" t="s">
        <v>1639</v>
      </c>
      <c r="C409" s="95">
        <v>0</v>
      </c>
      <c r="D409" s="250">
        <v>0</v>
      </c>
      <c r="E409" s="250">
        <v>27725690</v>
      </c>
      <c r="F409" s="251">
        <f t="shared" si="103"/>
        <v>27725690</v>
      </c>
      <c r="G409" s="251">
        <v>0</v>
      </c>
      <c r="H409" s="256">
        <f t="shared" si="104"/>
        <v>27725690</v>
      </c>
    </row>
    <row r="410" spans="1:8" ht="24">
      <c r="A410" s="32">
        <v>480700</v>
      </c>
      <c r="B410" s="33" t="s">
        <v>1640</v>
      </c>
      <c r="C410" s="91">
        <f>+C411</f>
        <v>0</v>
      </c>
      <c r="D410" s="253">
        <f>D411</f>
        <v>0</v>
      </c>
      <c r="E410" s="253">
        <f>E411</f>
        <v>0</v>
      </c>
      <c r="F410" s="253">
        <f>F411</f>
        <v>0</v>
      </c>
      <c r="G410" s="253">
        <f>G411</f>
        <v>0</v>
      </c>
      <c r="H410" s="257">
        <f>H411</f>
        <v>0</v>
      </c>
    </row>
    <row r="411" spans="1:8" ht="24">
      <c r="A411" s="34">
        <v>480725</v>
      </c>
      <c r="B411" s="35" t="s">
        <v>1641</v>
      </c>
      <c r="C411" s="95">
        <v>0</v>
      </c>
      <c r="D411" s="250">
        <v>0</v>
      </c>
      <c r="E411" s="250">
        <v>0</v>
      </c>
      <c r="F411" s="251">
        <f>+C411-D411+E411</f>
        <v>0</v>
      </c>
      <c r="G411" s="251">
        <v>0</v>
      </c>
      <c r="H411" s="256">
        <f>+F411</f>
        <v>0</v>
      </c>
    </row>
    <row r="412" spans="1:8" ht="12">
      <c r="A412" s="32">
        <v>481000</v>
      </c>
      <c r="B412" s="33" t="s">
        <v>1642</v>
      </c>
      <c r="C412" s="91">
        <f aca="true" t="shared" si="105" ref="C412:H412">+SUM(C413:C423)</f>
        <v>569251</v>
      </c>
      <c r="D412" s="91">
        <f t="shared" si="105"/>
        <v>123420</v>
      </c>
      <c r="E412" s="91">
        <f t="shared" si="105"/>
        <v>787913</v>
      </c>
      <c r="F412" s="91">
        <f t="shared" si="105"/>
        <v>1233744</v>
      </c>
      <c r="G412" s="91">
        <f t="shared" si="105"/>
        <v>0</v>
      </c>
      <c r="H412" s="25">
        <f t="shared" si="105"/>
        <v>1233744</v>
      </c>
    </row>
    <row r="413" spans="1:8" ht="12">
      <c r="A413" s="34">
        <v>481001</v>
      </c>
      <c r="B413" s="35" t="s">
        <v>1643</v>
      </c>
      <c r="C413" s="95">
        <v>0</v>
      </c>
      <c r="D413" s="250">
        <v>0</v>
      </c>
      <c r="E413" s="250">
        <v>0</v>
      </c>
      <c r="F413" s="251">
        <f aca="true" t="shared" si="106" ref="F413:F423">+C413-D413+E413</f>
        <v>0</v>
      </c>
      <c r="G413" s="251">
        <v>0</v>
      </c>
      <c r="H413" s="256">
        <f aca="true" t="shared" si="107" ref="H413:H423">+F413</f>
        <v>0</v>
      </c>
    </row>
    <row r="414" spans="1:8" ht="12">
      <c r="A414" s="34">
        <v>481006</v>
      </c>
      <c r="B414" s="35" t="s">
        <v>3499</v>
      </c>
      <c r="C414" s="95">
        <v>105310</v>
      </c>
      <c r="D414" s="250">
        <f>33657+3000</f>
        <v>36657</v>
      </c>
      <c r="E414" s="250">
        <v>21085</v>
      </c>
      <c r="F414" s="251">
        <f t="shared" si="106"/>
        <v>89738</v>
      </c>
      <c r="G414" s="251">
        <v>0</v>
      </c>
      <c r="H414" s="256">
        <f t="shared" si="107"/>
        <v>89738</v>
      </c>
    </row>
    <row r="415" spans="1:8" ht="12">
      <c r="A415" s="34">
        <v>481007</v>
      </c>
      <c r="B415" s="35" t="s">
        <v>1644</v>
      </c>
      <c r="C415" s="95">
        <v>41</v>
      </c>
      <c r="D415" s="250">
        <v>8</v>
      </c>
      <c r="E415" s="250">
        <v>11</v>
      </c>
      <c r="F415" s="251">
        <f t="shared" si="106"/>
        <v>44</v>
      </c>
      <c r="G415" s="251">
        <v>0</v>
      </c>
      <c r="H415" s="256">
        <f t="shared" si="107"/>
        <v>44</v>
      </c>
    </row>
    <row r="416" spans="1:8" ht="12">
      <c r="A416" s="34">
        <v>481008</v>
      </c>
      <c r="B416" s="35" t="s">
        <v>1645</v>
      </c>
      <c r="C416" s="95">
        <v>14720</v>
      </c>
      <c r="D416" s="250"/>
      <c r="E416" s="250">
        <f>6677+330</f>
        <v>7007</v>
      </c>
      <c r="F416" s="251">
        <f t="shared" si="106"/>
        <v>21727</v>
      </c>
      <c r="G416" s="251">
        <v>0</v>
      </c>
      <c r="H416" s="256">
        <f t="shared" si="107"/>
        <v>21727</v>
      </c>
    </row>
    <row r="417" spans="1:8" ht="12">
      <c r="A417" s="34">
        <v>481017</v>
      </c>
      <c r="B417" s="35" t="s">
        <v>1646</v>
      </c>
      <c r="C417" s="95">
        <v>0</v>
      </c>
      <c r="D417" s="250">
        <v>0</v>
      </c>
      <c r="E417" s="250">
        <v>0</v>
      </c>
      <c r="F417" s="251">
        <f t="shared" si="106"/>
        <v>0</v>
      </c>
      <c r="G417" s="251">
        <v>0</v>
      </c>
      <c r="H417" s="256">
        <f t="shared" si="107"/>
        <v>0</v>
      </c>
    </row>
    <row r="418" spans="1:8" ht="12">
      <c r="A418" s="34">
        <v>481018</v>
      </c>
      <c r="B418" s="35" t="s">
        <v>849</v>
      </c>
      <c r="C418" s="95">
        <v>12291</v>
      </c>
      <c r="D418" s="250">
        <v>11271</v>
      </c>
      <c r="E418" s="250">
        <v>2281</v>
      </c>
      <c r="F418" s="251">
        <f t="shared" si="106"/>
        <v>3301</v>
      </c>
      <c r="G418" s="251">
        <v>0</v>
      </c>
      <c r="H418" s="256">
        <f t="shared" si="107"/>
        <v>3301</v>
      </c>
    </row>
    <row r="419" spans="1:8" s="15" customFormat="1" ht="12">
      <c r="A419" s="34">
        <v>481022</v>
      </c>
      <c r="B419" s="35" t="s">
        <v>1647</v>
      </c>
      <c r="C419" s="95">
        <v>18981</v>
      </c>
      <c r="D419" s="250">
        <v>0</v>
      </c>
      <c r="E419" s="250">
        <v>634158</v>
      </c>
      <c r="F419" s="251">
        <f t="shared" si="106"/>
        <v>653139</v>
      </c>
      <c r="G419" s="251">
        <v>0</v>
      </c>
      <c r="H419" s="256">
        <f t="shared" si="107"/>
        <v>653139</v>
      </c>
    </row>
    <row r="420" spans="1:8" ht="12">
      <c r="A420" s="34">
        <v>481023</v>
      </c>
      <c r="B420" s="35" t="s">
        <v>1648</v>
      </c>
      <c r="C420" s="95">
        <v>294072</v>
      </c>
      <c r="D420" s="250">
        <v>0</v>
      </c>
      <c r="E420" s="250">
        <v>11219</v>
      </c>
      <c r="F420" s="251">
        <f t="shared" si="106"/>
        <v>305291</v>
      </c>
      <c r="G420" s="251">
        <v>0</v>
      </c>
      <c r="H420" s="256">
        <f t="shared" si="107"/>
        <v>305291</v>
      </c>
    </row>
    <row r="421" spans="1:8" ht="24">
      <c r="A421" s="34">
        <v>481037</v>
      </c>
      <c r="B421" s="35" t="s">
        <v>1649</v>
      </c>
      <c r="C421" s="95">
        <v>91228</v>
      </c>
      <c r="D421" s="250">
        <v>0</v>
      </c>
      <c r="E421" s="250">
        <v>69276</v>
      </c>
      <c r="F421" s="251">
        <f t="shared" si="106"/>
        <v>160504</v>
      </c>
      <c r="G421" s="251">
        <v>0</v>
      </c>
      <c r="H421" s="256">
        <f t="shared" si="107"/>
        <v>160504</v>
      </c>
    </row>
    <row r="422" spans="1:8" ht="12">
      <c r="A422" s="34">
        <v>481089</v>
      </c>
      <c r="B422" s="35"/>
      <c r="C422" s="95">
        <v>32608</v>
      </c>
      <c r="D422" s="250">
        <v>75484</v>
      </c>
      <c r="E422" s="250">
        <v>42876</v>
      </c>
      <c r="F422" s="251">
        <f t="shared" si="106"/>
        <v>0</v>
      </c>
      <c r="G422" s="251">
        <v>0</v>
      </c>
      <c r="H422" s="256">
        <f t="shared" si="107"/>
        <v>0</v>
      </c>
    </row>
    <row r="423" spans="1:8" ht="12">
      <c r="A423" s="34">
        <v>481090</v>
      </c>
      <c r="B423" s="35" t="s">
        <v>1650</v>
      </c>
      <c r="C423" s="95">
        <v>0</v>
      </c>
      <c r="D423" s="250">
        <v>0</v>
      </c>
      <c r="E423" s="250">
        <v>0</v>
      </c>
      <c r="F423" s="251">
        <f t="shared" si="106"/>
        <v>0</v>
      </c>
      <c r="G423" s="251">
        <v>0</v>
      </c>
      <c r="H423" s="256">
        <f t="shared" si="107"/>
        <v>0</v>
      </c>
    </row>
    <row r="424" spans="1:8" ht="12">
      <c r="A424" s="32">
        <v>481500</v>
      </c>
      <c r="B424" s="33" t="s">
        <v>1651</v>
      </c>
      <c r="C424" s="91">
        <f aca="true" t="shared" si="108" ref="C424:H424">+SUM(C425:C432)</f>
        <v>127190554</v>
      </c>
      <c r="D424" s="91">
        <f t="shared" si="108"/>
        <v>332277</v>
      </c>
      <c r="E424" s="91">
        <f t="shared" si="108"/>
        <v>123650551</v>
      </c>
      <c r="F424" s="91">
        <f t="shared" si="108"/>
        <v>250508828</v>
      </c>
      <c r="G424" s="91">
        <f t="shared" si="108"/>
        <v>0</v>
      </c>
      <c r="H424" s="25">
        <f t="shared" si="108"/>
        <v>250508828</v>
      </c>
    </row>
    <row r="425" spans="1:8" ht="12">
      <c r="A425" s="34">
        <v>481507</v>
      </c>
      <c r="B425" s="35" t="s">
        <v>1652</v>
      </c>
      <c r="C425" s="95">
        <v>0</v>
      </c>
      <c r="D425" s="250">
        <v>0</v>
      </c>
      <c r="E425" s="250">
        <v>0</v>
      </c>
      <c r="F425" s="251">
        <f aca="true" t="shared" si="109" ref="F425:F432">+C425-D425+E425</f>
        <v>0</v>
      </c>
      <c r="G425" s="251">
        <v>0</v>
      </c>
      <c r="H425" s="256">
        <f aca="true" t="shared" si="110" ref="H425:H432">+F425</f>
        <v>0</v>
      </c>
    </row>
    <row r="426" spans="1:8" ht="12">
      <c r="A426" s="34">
        <v>481509</v>
      </c>
      <c r="B426" s="35" t="s">
        <v>3506</v>
      </c>
      <c r="C426" s="95">
        <v>0</v>
      </c>
      <c r="D426" s="250">
        <v>0</v>
      </c>
      <c r="E426" s="250">
        <v>0</v>
      </c>
      <c r="F426" s="251">
        <f t="shared" si="109"/>
        <v>0</v>
      </c>
      <c r="G426" s="251">
        <v>0</v>
      </c>
      <c r="H426" s="256">
        <f t="shared" si="110"/>
        <v>0</v>
      </c>
    </row>
    <row r="427" spans="1:8" s="15" customFormat="1" ht="12">
      <c r="A427" s="34">
        <v>481510</v>
      </c>
      <c r="B427" s="35" t="s">
        <v>1604</v>
      </c>
      <c r="C427" s="95">
        <v>0</v>
      </c>
      <c r="D427" s="250">
        <v>0</v>
      </c>
      <c r="E427" s="250">
        <v>0</v>
      </c>
      <c r="F427" s="251">
        <f t="shared" si="109"/>
        <v>0</v>
      </c>
      <c r="G427" s="251">
        <v>0</v>
      </c>
      <c r="H427" s="256">
        <f t="shared" si="110"/>
        <v>0</v>
      </c>
    </row>
    <row r="428" spans="1:8" s="15" customFormat="1" ht="12">
      <c r="A428" s="34">
        <v>481517</v>
      </c>
      <c r="B428" s="35" t="s">
        <v>3478</v>
      </c>
      <c r="C428" s="95">
        <v>156221</v>
      </c>
      <c r="D428" s="250">
        <v>0</v>
      </c>
      <c r="E428" s="250">
        <v>71936879</v>
      </c>
      <c r="F428" s="251">
        <f t="shared" si="109"/>
        <v>72093100</v>
      </c>
      <c r="G428" s="251">
        <v>0</v>
      </c>
      <c r="H428" s="256">
        <f t="shared" si="110"/>
        <v>72093100</v>
      </c>
    </row>
    <row r="429" spans="1:8" s="15" customFormat="1" ht="12">
      <c r="A429" s="34">
        <v>481537</v>
      </c>
      <c r="B429" s="35" t="s">
        <v>1653</v>
      </c>
      <c r="C429" s="95">
        <v>0</v>
      </c>
      <c r="D429" s="250">
        <v>0</v>
      </c>
      <c r="E429" s="250">
        <v>0</v>
      </c>
      <c r="F429" s="251">
        <f t="shared" si="109"/>
        <v>0</v>
      </c>
      <c r="G429" s="251">
        <v>0</v>
      </c>
      <c r="H429" s="256">
        <f t="shared" si="110"/>
        <v>0</v>
      </c>
    </row>
    <row r="430" spans="1:8" ht="12">
      <c r="A430" s="34">
        <v>481538</v>
      </c>
      <c r="B430" s="35" t="s">
        <v>1654</v>
      </c>
      <c r="C430" s="95">
        <v>127034333</v>
      </c>
      <c r="D430" s="250">
        <v>332277</v>
      </c>
      <c r="E430" s="250">
        <f>51551407+5348+156917</f>
        <v>51713672</v>
      </c>
      <c r="F430" s="251">
        <f t="shared" si="109"/>
        <v>178415728</v>
      </c>
      <c r="G430" s="251">
        <v>0</v>
      </c>
      <c r="H430" s="256">
        <f t="shared" si="110"/>
        <v>178415728</v>
      </c>
    </row>
    <row r="431" spans="1:8" ht="24">
      <c r="A431" s="34">
        <v>481539</v>
      </c>
      <c r="B431" s="35" t="s">
        <v>1655</v>
      </c>
      <c r="C431" s="95">
        <v>0</v>
      </c>
      <c r="D431" s="250">
        <v>0</v>
      </c>
      <c r="E431" s="250">
        <v>0</v>
      </c>
      <c r="F431" s="251">
        <f t="shared" si="109"/>
        <v>0</v>
      </c>
      <c r="G431" s="251">
        <v>0</v>
      </c>
      <c r="H431" s="256">
        <f t="shared" si="110"/>
        <v>0</v>
      </c>
    </row>
    <row r="432" spans="1:8" ht="12">
      <c r="A432" s="34">
        <v>481553</v>
      </c>
      <c r="B432" s="35" t="s">
        <v>1656</v>
      </c>
      <c r="C432" s="95">
        <v>0</v>
      </c>
      <c r="D432" s="250"/>
      <c r="E432" s="250"/>
      <c r="F432" s="251">
        <f t="shared" si="109"/>
        <v>0</v>
      </c>
      <c r="G432" s="251">
        <v>0</v>
      </c>
      <c r="H432" s="256">
        <f t="shared" si="110"/>
        <v>0</v>
      </c>
    </row>
    <row r="433" spans="1:8" ht="12">
      <c r="A433" s="32">
        <v>500000</v>
      </c>
      <c r="B433" s="33" t="s">
        <v>1657</v>
      </c>
      <c r="C433" s="91">
        <f aca="true" t="shared" si="111" ref="C433:H433">+C434+C530+C554+C603+C608+C626+C640+C671+C525</f>
        <v>8751696046</v>
      </c>
      <c r="D433" s="91">
        <f t="shared" si="111"/>
        <v>5114230640</v>
      </c>
      <c r="E433" s="91">
        <f t="shared" si="111"/>
        <v>1126658820</v>
      </c>
      <c r="F433" s="91">
        <f t="shared" si="111"/>
        <v>12739267866</v>
      </c>
      <c r="G433" s="91">
        <f t="shared" si="111"/>
        <v>0</v>
      </c>
      <c r="H433" s="25">
        <f t="shared" si="111"/>
        <v>12739267866</v>
      </c>
    </row>
    <row r="434" spans="1:8" ht="12">
      <c r="A434" s="32">
        <v>510000</v>
      </c>
      <c r="B434" s="33" t="s">
        <v>1658</v>
      </c>
      <c r="C434" s="91">
        <f aca="true" t="shared" si="112" ref="C434:H434">+C435+C463+C468+C476+C481+C514</f>
        <v>138342333</v>
      </c>
      <c r="D434" s="91">
        <f t="shared" si="112"/>
        <v>43201028</v>
      </c>
      <c r="E434" s="91">
        <f t="shared" si="112"/>
        <v>118133832</v>
      </c>
      <c r="F434" s="91">
        <f t="shared" si="112"/>
        <v>63409529</v>
      </c>
      <c r="G434" s="91">
        <f t="shared" si="112"/>
        <v>0</v>
      </c>
      <c r="H434" s="25">
        <f t="shared" si="112"/>
        <v>63409529</v>
      </c>
    </row>
    <row r="435" spans="1:8" ht="12">
      <c r="A435" s="32">
        <v>510100</v>
      </c>
      <c r="B435" s="33" t="s">
        <v>1659</v>
      </c>
      <c r="C435" s="91">
        <f aca="true" t="shared" si="113" ref="C435:H435">+SUM(C436:C462)</f>
        <v>11597318</v>
      </c>
      <c r="D435" s="91">
        <f t="shared" si="113"/>
        <v>6144666</v>
      </c>
      <c r="E435" s="91">
        <f t="shared" si="113"/>
        <v>1118764</v>
      </c>
      <c r="F435" s="91">
        <f t="shared" si="113"/>
        <v>16623220</v>
      </c>
      <c r="G435" s="91">
        <f t="shared" si="113"/>
        <v>0</v>
      </c>
      <c r="H435" s="25">
        <f t="shared" si="113"/>
        <v>16623220</v>
      </c>
    </row>
    <row r="436" spans="1:8" ht="12">
      <c r="A436" s="34">
        <v>510101</v>
      </c>
      <c r="B436" s="35" t="s">
        <v>1660</v>
      </c>
      <c r="C436" s="95">
        <v>5704068</v>
      </c>
      <c r="D436" s="250">
        <f>1828090+46787+1</f>
        <v>1874878</v>
      </c>
      <c r="E436" s="250">
        <v>0</v>
      </c>
      <c r="F436" s="253">
        <f aca="true" t="shared" si="114" ref="F436:F462">+C436+D436-E436</f>
        <v>7578946</v>
      </c>
      <c r="G436" s="251">
        <v>0</v>
      </c>
      <c r="H436" s="256">
        <f aca="true" t="shared" si="115" ref="H436:H462">+F436</f>
        <v>7578946</v>
      </c>
    </row>
    <row r="437" spans="1:8" ht="12">
      <c r="A437" s="34">
        <v>510102</v>
      </c>
      <c r="B437" s="35" t="s">
        <v>1661</v>
      </c>
      <c r="C437" s="95">
        <v>0</v>
      </c>
      <c r="D437" s="250">
        <v>0</v>
      </c>
      <c r="E437" s="250">
        <v>0</v>
      </c>
      <c r="F437" s="253">
        <f t="shared" si="114"/>
        <v>0</v>
      </c>
      <c r="G437" s="251">
        <v>0</v>
      </c>
      <c r="H437" s="256">
        <f t="shared" si="115"/>
        <v>0</v>
      </c>
    </row>
    <row r="438" spans="1:8" ht="12">
      <c r="A438" s="34">
        <v>510103</v>
      </c>
      <c r="B438" s="35" t="s">
        <v>1662</v>
      </c>
      <c r="C438" s="95">
        <v>81525</v>
      </c>
      <c r="D438" s="250">
        <v>36440</v>
      </c>
      <c r="E438" s="250">
        <v>422</v>
      </c>
      <c r="F438" s="253">
        <f t="shared" si="114"/>
        <v>117543</v>
      </c>
      <c r="G438" s="251">
        <v>0</v>
      </c>
      <c r="H438" s="256">
        <f t="shared" si="115"/>
        <v>117543</v>
      </c>
    </row>
    <row r="439" spans="1:8" ht="12">
      <c r="A439" s="34">
        <v>510105</v>
      </c>
      <c r="B439" s="35" t="s">
        <v>1663</v>
      </c>
      <c r="C439" s="95">
        <v>98497</v>
      </c>
      <c r="D439" s="250">
        <v>34049</v>
      </c>
      <c r="E439" s="250">
        <v>0</v>
      </c>
      <c r="F439" s="253">
        <f t="shared" si="114"/>
        <v>132546</v>
      </c>
      <c r="G439" s="251">
        <v>0</v>
      </c>
      <c r="H439" s="256">
        <f t="shared" si="115"/>
        <v>132546</v>
      </c>
    </row>
    <row r="440" spans="1:8" ht="12">
      <c r="A440" s="34">
        <v>510106</v>
      </c>
      <c r="B440" s="35" t="s">
        <v>1664</v>
      </c>
      <c r="C440" s="95">
        <v>934389</v>
      </c>
      <c r="D440" s="250">
        <f>200970+182952</f>
        <v>383922</v>
      </c>
      <c r="E440" s="250">
        <v>40759</v>
      </c>
      <c r="F440" s="253">
        <f t="shared" si="114"/>
        <v>1277552</v>
      </c>
      <c r="G440" s="251">
        <v>0</v>
      </c>
      <c r="H440" s="256">
        <f t="shared" si="115"/>
        <v>1277552</v>
      </c>
    </row>
    <row r="441" spans="1:8" ht="12">
      <c r="A441" s="34">
        <v>510107</v>
      </c>
      <c r="B441" s="35" t="s">
        <v>1665</v>
      </c>
      <c r="C441" s="95">
        <v>0</v>
      </c>
      <c r="D441" s="250">
        <v>0</v>
      </c>
      <c r="E441" s="250">
        <v>0</v>
      </c>
      <c r="F441" s="253">
        <f t="shared" si="114"/>
        <v>0</v>
      </c>
      <c r="G441" s="251">
        <v>0</v>
      </c>
      <c r="H441" s="256">
        <f t="shared" si="115"/>
        <v>0</v>
      </c>
    </row>
    <row r="442" spans="1:8" ht="12">
      <c r="A442" s="34">
        <v>510109</v>
      </c>
      <c r="B442" s="35" t="s">
        <v>948</v>
      </c>
      <c r="C442" s="95">
        <v>1268782</v>
      </c>
      <c r="D442" s="250">
        <f>1181708+19172</f>
        <v>1200880</v>
      </c>
      <c r="E442" s="250">
        <v>654110</v>
      </c>
      <c r="F442" s="253">
        <f t="shared" si="114"/>
        <v>1815552</v>
      </c>
      <c r="G442" s="251">
        <v>0</v>
      </c>
      <c r="H442" s="256">
        <f t="shared" si="115"/>
        <v>1815552</v>
      </c>
    </row>
    <row r="443" spans="1:8" ht="12">
      <c r="A443" s="34">
        <v>510110</v>
      </c>
      <c r="B443" s="35" t="s">
        <v>1666</v>
      </c>
      <c r="C443" s="95">
        <v>1141943</v>
      </c>
      <c r="D443" s="250">
        <f>367587+8366</f>
        <v>375953</v>
      </c>
      <c r="E443" s="250">
        <v>0</v>
      </c>
      <c r="F443" s="253">
        <f t="shared" si="114"/>
        <v>1517896</v>
      </c>
      <c r="G443" s="251">
        <v>0</v>
      </c>
      <c r="H443" s="256">
        <f t="shared" si="115"/>
        <v>1517896</v>
      </c>
    </row>
    <row r="444" spans="1:8" ht="12">
      <c r="A444" s="34">
        <v>510111</v>
      </c>
      <c r="B444" s="35" t="s">
        <v>1667</v>
      </c>
      <c r="C444" s="95">
        <v>19365</v>
      </c>
      <c r="D444" s="250">
        <v>6955</v>
      </c>
      <c r="E444" s="250">
        <v>0</v>
      </c>
      <c r="F444" s="253">
        <f t="shared" si="114"/>
        <v>26320</v>
      </c>
      <c r="G444" s="251">
        <v>0</v>
      </c>
      <c r="H444" s="256">
        <f t="shared" si="115"/>
        <v>26320</v>
      </c>
    </row>
    <row r="445" spans="1:8" ht="12">
      <c r="A445" s="34">
        <v>510112</v>
      </c>
      <c r="B445" s="35" t="s">
        <v>1668</v>
      </c>
      <c r="C445" s="95">
        <v>0</v>
      </c>
      <c r="D445" s="250">
        <v>0</v>
      </c>
      <c r="E445" s="250">
        <v>0</v>
      </c>
      <c r="F445" s="253">
        <f t="shared" si="114"/>
        <v>0</v>
      </c>
      <c r="G445" s="251">
        <v>0</v>
      </c>
      <c r="H445" s="256">
        <f t="shared" si="115"/>
        <v>0</v>
      </c>
    </row>
    <row r="446" spans="1:8" ht="12">
      <c r="A446" s="34">
        <v>510113</v>
      </c>
      <c r="B446" s="35" t="s">
        <v>1669</v>
      </c>
      <c r="C446" s="95">
        <v>260429</v>
      </c>
      <c r="D446" s="250">
        <f>429579+4262</f>
        <v>433841</v>
      </c>
      <c r="E446" s="250">
        <f>122838+65</f>
        <v>122903</v>
      </c>
      <c r="F446" s="253">
        <f t="shared" si="114"/>
        <v>571367</v>
      </c>
      <c r="G446" s="251">
        <v>0</v>
      </c>
      <c r="H446" s="256">
        <f t="shared" si="115"/>
        <v>571367</v>
      </c>
    </row>
    <row r="447" spans="1:8" ht="12">
      <c r="A447" s="34">
        <v>510114</v>
      </c>
      <c r="B447" s="35" t="s">
        <v>1670</v>
      </c>
      <c r="C447" s="95">
        <v>499958</v>
      </c>
      <c r="D447" s="250">
        <f>292147+10205</f>
        <v>302352</v>
      </c>
      <c r="E447" s="250">
        <f>19176+32</f>
        <v>19208</v>
      </c>
      <c r="F447" s="253">
        <f t="shared" si="114"/>
        <v>783102</v>
      </c>
      <c r="G447" s="251">
        <v>0</v>
      </c>
      <c r="H447" s="256">
        <f t="shared" si="115"/>
        <v>783102</v>
      </c>
    </row>
    <row r="448" spans="1:8" ht="12">
      <c r="A448" s="34">
        <v>510116</v>
      </c>
      <c r="B448" s="35" t="s">
        <v>1671</v>
      </c>
      <c r="C448" s="95">
        <v>5923</v>
      </c>
      <c r="D448" s="250">
        <v>1969</v>
      </c>
      <c r="E448" s="250">
        <v>0</v>
      </c>
      <c r="F448" s="253">
        <f t="shared" si="114"/>
        <v>7892</v>
      </c>
      <c r="G448" s="251">
        <v>0</v>
      </c>
      <c r="H448" s="256">
        <f t="shared" si="115"/>
        <v>7892</v>
      </c>
    </row>
    <row r="449" spans="1:8" ht="12">
      <c r="A449" s="34">
        <v>510117</v>
      </c>
      <c r="B449" s="35" t="s">
        <v>971</v>
      </c>
      <c r="C449" s="95">
        <v>5834</v>
      </c>
      <c r="D449" s="250">
        <f>673704+2335</f>
        <v>676039</v>
      </c>
      <c r="E449" s="250">
        <v>0</v>
      </c>
      <c r="F449" s="253">
        <f t="shared" si="114"/>
        <v>681873</v>
      </c>
      <c r="G449" s="251">
        <v>0</v>
      </c>
      <c r="H449" s="256">
        <f t="shared" si="115"/>
        <v>681873</v>
      </c>
    </row>
    <row r="450" spans="1:8" ht="12">
      <c r="A450" s="34">
        <v>510118</v>
      </c>
      <c r="B450" s="35" t="s">
        <v>1672</v>
      </c>
      <c r="C450" s="95">
        <v>765</v>
      </c>
      <c r="D450" s="250">
        <f>32731+352</f>
        <v>33083</v>
      </c>
      <c r="E450" s="250">
        <v>0</v>
      </c>
      <c r="F450" s="253">
        <f t="shared" si="114"/>
        <v>33848</v>
      </c>
      <c r="G450" s="251">
        <v>0</v>
      </c>
      <c r="H450" s="256">
        <f t="shared" si="115"/>
        <v>33848</v>
      </c>
    </row>
    <row r="451" spans="1:8" ht="12">
      <c r="A451" s="34">
        <v>510119</v>
      </c>
      <c r="B451" s="23" t="s">
        <v>975</v>
      </c>
      <c r="C451" s="95">
        <v>534676</v>
      </c>
      <c r="D451" s="250">
        <f>162488+1966</f>
        <v>164454</v>
      </c>
      <c r="E451" s="250">
        <f>167783+1079</f>
        <v>168862</v>
      </c>
      <c r="F451" s="253">
        <f t="shared" si="114"/>
        <v>530268</v>
      </c>
      <c r="G451" s="251">
        <v>0</v>
      </c>
      <c r="H451" s="256">
        <f t="shared" si="115"/>
        <v>530268</v>
      </c>
    </row>
    <row r="452" spans="1:8" ht="12">
      <c r="A452" s="34">
        <v>510121</v>
      </c>
      <c r="B452" s="35" t="s">
        <v>1673</v>
      </c>
      <c r="C452" s="95">
        <v>0</v>
      </c>
      <c r="D452" s="250">
        <v>0</v>
      </c>
      <c r="E452" s="250">
        <v>0</v>
      </c>
      <c r="F452" s="253">
        <f t="shared" si="114"/>
        <v>0</v>
      </c>
      <c r="G452" s="251">
        <v>0</v>
      </c>
      <c r="H452" s="256">
        <f t="shared" si="115"/>
        <v>0</v>
      </c>
    </row>
    <row r="453" spans="1:8" ht="12">
      <c r="A453" s="34">
        <v>510123</v>
      </c>
      <c r="B453" s="35" t="s">
        <v>1674</v>
      </c>
      <c r="C453" s="95">
        <v>6847</v>
      </c>
      <c r="D453" s="250">
        <f>2174+429</f>
        <v>2603</v>
      </c>
      <c r="E453" s="250">
        <v>0</v>
      </c>
      <c r="F453" s="253">
        <f t="shared" si="114"/>
        <v>9450</v>
      </c>
      <c r="G453" s="251">
        <v>0</v>
      </c>
      <c r="H453" s="256">
        <f t="shared" si="115"/>
        <v>9450</v>
      </c>
    </row>
    <row r="454" spans="1:8" ht="12">
      <c r="A454" s="34">
        <v>510124</v>
      </c>
      <c r="B454" s="35" t="s">
        <v>970</v>
      </c>
      <c r="C454" s="95">
        <v>619648</v>
      </c>
      <c r="D454" s="250">
        <f>325462+6721</f>
        <v>332183</v>
      </c>
      <c r="E454" s="250">
        <v>9089</v>
      </c>
      <c r="F454" s="253">
        <f t="shared" si="114"/>
        <v>942742</v>
      </c>
      <c r="G454" s="251">
        <v>0</v>
      </c>
      <c r="H454" s="256">
        <f t="shared" si="115"/>
        <v>942742</v>
      </c>
    </row>
    <row r="455" spans="1:8" ht="12">
      <c r="A455" s="34">
        <v>510130</v>
      </c>
      <c r="B455" s="35" t="s">
        <v>1675</v>
      </c>
      <c r="C455" s="95">
        <v>127224</v>
      </c>
      <c r="D455" s="250">
        <f>94905+901</f>
        <v>95806</v>
      </c>
      <c r="E455" s="250">
        <v>4979</v>
      </c>
      <c r="F455" s="253">
        <f t="shared" si="114"/>
        <v>218051</v>
      </c>
      <c r="G455" s="251">
        <v>0</v>
      </c>
      <c r="H455" s="256">
        <f t="shared" si="115"/>
        <v>218051</v>
      </c>
    </row>
    <row r="456" spans="1:8" ht="12">
      <c r="A456" s="34">
        <v>510131</v>
      </c>
      <c r="B456" s="35" t="s">
        <v>1676</v>
      </c>
      <c r="C456" s="95">
        <v>5741</v>
      </c>
      <c r="D456" s="250">
        <f>9173+375</f>
        <v>9548</v>
      </c>
      <c r="E456" s="250">
        <v>0</v>
      </c>
      <c r="F456" s="253">
        <f t="shared" si="114"/>
        <v>15289</v>
      </c>
      <c r="G456" s="251">
        <v>0</v>
      </c>
      <c r="H456" s="256">
        <f t="shared" si="115"/>
        <v>15289</v>
      </c>
    </row>
    <row r="457" spans="1:8" s="15" customFormat="1" ht="12">
      <c r="A457" s="34">
        <v>510133</v>
      </c>
      <c r="B457" s="35" t="s">
        <v>1677</v>
      </c>
      <c r="C457" s="95">
        <v>0</v>
      </c>
      <c r="D457" s="250">
        <v>0</v>
      </c>
      <c r="E457" s="250">
        <v>0</v>
      </c>
      <c r="F457" s="253">
        <f t="shared" si="114"/>
        <v>0</v>
      </c>
      <c r="G457" s="251">
        <v>0</v>
      </c>
      <c r="H457" s="256">
        <f t="shared" si="115"/>
        <v>0</v>
      </c>
    </row>
    <row r="458" spans="1:8" ht="12">
      <c r="A458" s="34">
        <v>510150</v>
      </c>
      <c r="B458" s="35" t="s">
        <v>1678</v>
      </c>
      <c r="C458" s="95">
        <v>0</v>
      </c>
      <c r="D458" s="250">
        <v>0</v>
      </c>
      <c r="E458" s="250">
        <v>0</v>
      </c>
      <c r="F458" s="253">
        <f t="shared" si="114"/>
        <v>0</v>
      </c>
      <c r="G458" s="251">
        <v>0</v>
      </c>
      <c r="H458" s="256">
        <f t="shared" si="115"/>
        <v>0</v>
      </c>
    </row>
    <row r="459" spans="1:8" ht="12">
      <c r="A459" s="34">
        <v>510152</v>
      </c>
      <c r="B459" s="35" t="s">
        <v>1679</v>
      </c>
      <c r="C459" s="95">
        <v>250903</v>
      </c>
      <c r="D459" s="250">
        <f>162227+6035</f>
        <v>168262</v>
      </c>
      <c r="E459" s="250">
        <f>94282+4150</f>
        <v>98432</v>
      </c>
      <c r="F459" s="253">
        <f t="shared" si="114"/>
        <v>320733</v>
      </c>
      <c r="G459" s="251">
        <v>0</v>
      </c>
      <c r="H459" s="256">
        <f t="shared" si="115"/>
        <v>320733</v>
      </c>
    </row>
    <row r="460" spans="1:8" ht="12">
      <c r="A460" s="34">
        <v>510156</v>
      </c>
      <c r="B460" s="35" t="s">
        <v>1680</v>
      </c>
      <c r="C460" s="95">
        <v>18010</v>
      </c>
      <c r="D460" s="250">
        <v>6601</v>
      </c>
      <c r="E460" s="250">
        <v>0</v>
      </c>
      <c r="F460" s="253">
        <f t="shared" si="114"/>
        <v>24611</v>
      </c>
      <c r="G460" s="251">
        <v>0</v>
      </c>
      <c r="H460" s="256">
        <f t="shared" si="115"/>
        <v>24611</v>
      </c>
    </row>
    <row r="461" spans="1:8" ht="12">
      <c r="A461" s="34">
        <v>510160</v>
      </c>
      <c r="B461" s="35" t="s">
        <v>1681</v>
      </c>
      <c r="C461" s="95">
        <v>12791</v>
      </c>
      <c r="D461" s="250">
        <f>4440+408</f>
        <v>4848</v>
      </c>
      <c r="E461" s="250">
        <v>0</v>
      </c>
      <c r="F461" s="253">
        <f t="shared" si="114"/>
        <v>17639</v>
      </c>
      <c r="G461" s="251">
        <v>0</v>
      </c>
      <c r="H461" s="256">
        <f t="shared" si="115"/>
        <v>17639</v>
      </c>
    </row>
    <row r="462" spans="1:8" s="15" customFormat="1" ht="12">
      <c r="A462" s="34">
        <v>510190</v>
      </c>
      <c r="B462" s="35" t="s">
        <v>1682</v>
      </c>
      <c r="C462" s="95">
        <v>0</v>
      </c>
      <c r="D462" s="250">
        <v>0</v>
      </c>
      <c r="E462" s="250">
        <v>0</v>
      </c>
      <c r="F462" s="253">
        <f t="shared" si="114"/>
        <v>0</v>
      </c>
      <c r="G462" s="251">
        <v>0</v>
      </c>
      <c r="H462" s="256">
        <f t="shared" si="115"/>
        <v>0</v>
      </c>
    </row>
    <row r="463" spans="1:8" ht="12">
      <c r="A463" s="32">
        <v>510200</v>
      </c>
      <c r="B463" s="33" t="s">
        <v>1683</v>
      </c>
      <c r="C463" s="91">
        <f aca="true" t="shared" si="116" ref="C463:H463">+SUM(C464:C467)</f>
        <v>36055340</v>
      </c>
      <c r="D463" s="91">
        <f t="shared" si="116"/>
        <v>727287</v>
      </c>
      <c r="E463" s="91">
        <f t="shared" si="116"/>
        <v>36761068</v>
      </c>
      <c r="F463" s="91">
        <f t="shared" si="116"/>
        <v>21559</v>
      </c>
      <c r="G463" s="91">
        <f t="shared" si="116"/>
        <v>0</v>
      </c>
      <c r="H463" s="25">
        <f t="shared" si="116"/>
        <v>21559</v>
      </c>
    </row>
    <row r="464" spans="1:8" ht="12">
      <c r="A464" s="34">
        <v>510201</v>
      </c>
      <c r="B464" s="35" t="s">
        <v>1684</v>
      </c>
      <c r="C464" s="95">
        <v>15949</v>
      </c>
      <c r="D464" s="250">
        <v>5610</v>
      </c>
      <c r="E464" s="250">
        <v>0</v>
      </c>
      <c r="F464" s="253">
        <f>+C464+D464-E464</f>
        <v>21559</v>
      </c>
      <c r="G464" s="251">
        <v>0</v>
      </c>
      <c r="H464" s="256">
        <f>+F464</f>
        <v>21559</v>
      </c>
    </row>
    <row r="465" spans="1:8" ht="12">
      <c r="A465" s="34">
        <v>510203</v>
      </c>
      <c r="B465" s="35" t="s">
        <v>1685</v>
      </c>
      <c r="C465" s="95">
        <v>0</v>
      </c>
      <c r="D465" s="250">
        <v>721677</v>
      </c>
      <c r="E465" s="250">
        <v>721677</v>
      </c>
      <c r="F465" s="253">
        <f>+C465+D465-E465</f>
        <v>0</v>
      </c>
      <c r="G465" s="251">
        <v>0</v>
      </c>
      <c r="H465" s="256">
        <f>+F465</f>
        <v>0</v>
      </c>
    </row>
    <row r="466" spans="1:8" ht="12">
      <c r="A466" s="34">
        <v>510207</v>
      </c>
      <c r="B466" s="35" t="s">
        <v>1686</v>
      </c>
      <c r="C466" s="95">
        <v>7273403</v>
      </c>
      <c r="D466" s="250">
        <v>0</v>
      </c>
      <c r="E466" s="250">
        <v>7273403</v>
      </c>
      <c r="F466" s="253">
        <f>+C466+D466-E466</f>
        <v>0</v>
      </c>
      <c r="G466" s="251">
        <v>0</v>
      </c>
      <c r="H466" s="256">
        <f>+F466</f>
        <v>0</v>
      </c>
    </row>
    <row r="467" spans="1:8" ht="24">
      <c r="A467" s="34">
        <v>510214</v>
      </c>
      <c r="B467" s="35" t="s">
        <v>1687</v>
      </c>
      <c r="C467" s="95">
        <v>28765988</v>
      </c>
      <c r="D467" s="250">
        <v>0</v>
      </c>
      <c r="E467" s="250">
        <v>28765988</v>
      </c>
      <c r="F467" s="253">
        <f>+C467+D467-E467</f>
        <v>0</v>
      </c>
      <c r="G467" s="251">
        <v>0</v>
      </c>
      <c r="H467" s="256">
        <f>+F467</f>
        <v>0</v>
      </c>
    </row>
    <row r="468" spans="1:8" ht="12">
      <c r="A468" s="32">
        <v>510300</v>
      </c>
      <c r="B468" s="33" t="s">
        <v>1688</v>
      </c>
      <c r="C468" s="91">
        <f aca="true" t="shared" si="117" ref="C468:H468">+SUM(C469:C475)</f>
        <v>80086015</v>
      </c>
      <c r="D468" s="91">
        <f t="shared" si="117"/>
        <v>561169</v>
      </c>
      <c r="E468" s="91">
        <f t="shared" si="117"/>
        <v>78464428</v>
      </c>
      <c r="F468" s="91">
        <f t="shared" si="117"/>
        <v>2182756</v>
      </c>
      <c r="G468" s="91">
        <f t="shared" si="117"/>
        <v>0</v>
      </c>
      <c r="H468" s="25">
        <f t="shared" si="117"/>
        <v>2182756</v>
      </c>
    </row>
    <row r="469" spans="1:8" ht="24">
      <c r="A469" s="34">
        <v>510302</v>
      </c>
      <c r="B469" s="35" t="s">
        <v>1689</v>
      </c>
      <c r="C469" s="95">
        <v>287265</v>
      </c>
      <c r="D469" s="250">
        <f>124436+2344</f>
        <v>126780</v>
      </c>
      <c r="E469" s="250">
        <v>0</v>
      </c>
      <c r="F469" s="253">
        <f aca="true" t="shared" si="118" ref="F469:F475">+C469+D469-E469</f>
        <v>414045</v>
      </c>
      <c r="G469" s="251">
        <v>0</v>
      </c>
      <c r="H469" s="256">
        <f aca="true" t="shared" si="119" ref="H469:H475">+F469</f>
        <v>414045</v>
      </c>
    </row>
    <row r="470" spans="1:8" s="15" customFormat="1" ht="12">
      <c r="A470" s="34">
        <v>510303</v>
      </c>
      <c r="B470" s="35" t="s">
        <v>1690</v>
      </c>
      <c r="C470" s="95">
        <v>78975807</v>
      </c>
      <c r="D470" s="250">
        <f>161762+4751</f>
        <v>166513</v>
      </c>
      <c r="E470" s="250">
        <v>78464428</v>
      </c>
      <c r="F470" s="253">
        <f t="shared" si="118"/>
        <v>677892</v>
      </c>
      <c r="G470" s="251">
        <v>0</v>
      </c>
      <c r="H470" s="256">
        <f t="shared" si="119"/>
        <v>677892</v>
      </c>
    </row>
    <row r="471" spans="1:8" ht="12">
      <c r="A471" s="34">
        <v>510304</v>
      </c>
      <c r="B471" s="35" t="s">
        <v>1691</v>
      </c>
      <c r="C471" s="95">
        <v>0</v>
      </c>
      <c r="D471" s="250">
        <v>0</v>
      </c>
      <c r="E471" s="250">
        <v>0</v>
      </c>
      <c r="F471" s="253">
        <f t="shared" si="118"/>
        <v>0</v>
      </c>
      <c r="G471" s="251">
        <v>0</v>
      </c>
      <c r="H471" s="256">
        <f t="shared" si="119"/>
        <v>0</v>
      </c>
    </row>
    <row r="472" spans="1:8" ht="12">
      <c r="A472" s="34">
        <v>510305</v>
      </c>
      <c r="B472" s="35" t="s">
        <v>1692</v>
      </c>
      <c r="C472" s="95">
        <v>31628</v>
      </c>
      <c r="D472" s="250">
        <f>10686+306</f>
        <v>10992</v>
      </c>
      <c r="E472" s="250">
        <v>0</v>
      </c>
      <c r="F472" s="253">
        <f t="shared" si="118"/>
        <v>42620</v>
      </c>
      <c r="G472" s="251">
        <v>0</v>
      </c>
      <c r="H472" s="256">
        <f t="shared" si="119"/>
        <v>42620</v>
      </c>
    </row>
    <row r="473" spans="1:8" ht="24">
      <c r="A473" s="34">
        <v>510306</v>
      </c>
      <c r="B473" s="35" t="s">
        <v>1693</v>
      </c>
      <c r="C473" s="95">
        <v>413908</v>
      </c>
      <c r="D473" s="250">
        <f>128595+2740</f>
        <v>131335</v>
      </c>
      <c r="E473" s="250">
        <v>0</v>
      </c>
      <c r="F473" s="253">
        <f t="shared" si="118"/>
        <v>545243</v>
      </c>
      <c r="G473" s="251">
        <v>0</v>
      </c>
      <c r="H473" s="256">
        <f t="shared" si="119"/>
        <v>545243</v>
      </c>
    </row>
    <row r="474" spans="1:8" ht="24">
      <c r="A474" s="34">
        <v>510307</v>
      </c>
      <c r="B474" s="35" t="s">
        <v>1694</v>
      </c>
      <c r="C474" s="95">
        <v>377407</v>
      </c>
      <c r="D474" s="250">
        <f>121447+4102</f>
        <v>125549</v>
      </c>
      <c r="E474" s="250">
        <v>0</v>
      </c>
      <c r="F474" s="253">
        <f t="shared" si="118"/>
        <v>502956</v>
      </c>
      <c r="G474" s="251">
        <v>0</v>
      </c>
      <c r="H474" s="256">
        <f t="shared" si="119"/>
        <v>502956</v>
      </c>
    </row>
    <row r="475" spans="1:8" s="15" customFormat="1" ht="12">
      <c r="A475" s="34">
        <v>510390</v>
      </c>
      <c r="B475" s="35" t="s">
        <v>1695</v>
      </c>
      <c r="C475" s="95">
        <v>0</v>
      </c>
      <c r="D475" s="250">
        <v>0</v>
      </c>
      <c r="E475" s="250">
        <v>0</v>
      </c>
      <c r="F475" s="253">
        <f t="shared" si="118"/>
        <v>0</v>
      </c>
      <c r="G475" s="251">
        <v>0</v>
      </c>
      <c r="H475" s="256">
        <f t="shared" si="119"/>
        <v>0</v>
      </c>
    </row>
    <row r="476" spans="1:8" ht="12">
      <c r="A476" s="32">
        <v>510400</v>
      </c>
      <c r="B476" s="33" t="s">
        <v>1696</v>
      </c>
      <c r="C476" s="91">
        <f aca="true" t="shared" si="120" ref="C476:H476">+SUM(C477:C480)</f>
        <v>5361835</v>
      </c>
      <c r="D476" s="91">
        <f t="shared" si="120"/>
        <v>5647464</v>
      </c>
      <c r="E476" s="91">
        <f t="shared" si="120"/>
        <v>0</v>
      </c>
      <c r="F476" s="91">
        <f t="shared" si="120"/>
        <v>11009299</v>
      </c>
      <c r="G476" s="91">
        <f t="shared" si="120"/>
        <v>0</v>
      </c>
      <c r="H476" s="25">
        <f t="shared" si="120"/>
        <v>11009299</v>
      </c>
    </row>
    <row r="477" spans="1:8" ht="12">
      <c r="A477" s="34">
        <v>510401</v>
      </c>
      <c r="B477" s="35" t="s">
        <v>1697</v>
      </c>
      <c r="C477" s="95">
        <v>4450030</v>
      </c>
      <c r="D477" s="250">
        <f>3581845+1758</f>
        <v>3583603</v>
      </c>
      <c r="E477" s="250">
        <v>0</v>
      </c>
      <c r="F477" s="253">
        <f>+C477+D477-E477</f>
        <v>8033633</v>
      </c>
      <c r="G477" s="251">
        <v>0</v>
      </c>
      <c r="H477" s="256">
        <f>+F477</f>
        <v>8033633</v>
      </c>
    </row>
    <row r="478" spans="1:8" ht="12">
      <c r="A478" s="34">
        <v>510402</v>
      </c>
      <c r="B478" s="35" t="s">
        <v>1698</v>
      </c>
      <c r="C478" s="95">
        <v>36061</v>
      </c>
      <c r="D478" s="250">
        <f>15555+293</f>
        <v>15848</v>
      </c>
      <c r="E478" s="250">
        <v>0</v>
      </c>
      <c r="F478" s="253">
        <f>+C478+D478-E478</f>
        <v>51909</v>
      </c>
      <c r="G478" s="251">
        <v>0</v>
      </c>
      <c r="H478" s="256">
        <f>+F478</f>
        <v>51909</v>
      </c>
    </row>
    <row r="479" spans="1:8" ht="12">
      <c r="A479" s="34">
        <v>510403</v>
      </c>
      <c r="B479" s="35" t="s">
        <v>1699</v>
      </c>
      <c r="C479" s="95">
        <v>739070</v>
      </c>
      <c r="D479" s="250">
        <f>2016025+293</f>
        <v>2016318</v>
      </c>
      <c r="E479" s="250">
        <v>0</v>
      </c>
      <c r="F479" s="253">
        <f>+C479+D479-E479</f>
        <v>2755388</v>
      </c>
      <c r="G479" s="251">
        <v>0</v>
      </c>
      <c r="H479" s="256">
        <f>+F479</f>
        <v>2755388</v>
      </c>
    </row>
    <row r="480" spans="1:8" ht="24">
      <c r="A480" s="34">
        <v>510404</v>
      </c>
      <c r="B480" s="35" t="s">
        <v>1700</v>
      </c>
      <c r="C480" s="95">
        <v>136674</v>
      </c>
      <c r="D480" s="250">
        <f>31109+586</f>
        <v>31695</v>
      </c>
      <c r="E480" s="250">
        <v>0</v>
      </c>
      <c r="F480" s="253">
        <f>+C480+D480-E480</f>
        <v>168369</v>
      </c>
      <c r="G480" s="251">
        <v>0</v>
      </c>
      <c r="H480" s="256">
        <f>+F480</f>
        <v>168369</v>
      </c>
    </row>
    <row r="481" spans="1:8" ht="12">
      <c r="A481" s="32">
        <v>511100</v>
      </c>
      <c r="B481" s="33" t="s">
        <v>1701</v>
      </c>
      <c r="C481" s="91">
        <f aca="true" t="shared" si="121" ref="C481:H481">+SUM(C482:C513)</f>
        <v>3211160</v>
      </c>
      <c r="D481" s="91">
        <f t="shared" si="121"/>
        <v>1313278</v>
      </c>
      <c r="E481" s="91">
        <f t="shared" si="121"/>
        <v>488240</v>
      </c>
      <c r="F481" s="91">
        <f t="shared" si="121"/>
        <v>4036198</v>
      </c>
      <c r="G481" s="91">
        <f t="shared" si="121"/>
        <v>0</v>
      </c>
      <c r="H481" s="25">
        <f t="shared" si="121"/>
        <v>4036198</v>
      </c>
    </row>
    <row r="482" spans="1:8" ht="12">
      <c r="A482" s="34">
        <v>511103</v>
      </c>
      <c r="B482" s="35" t="s">
        <v>1702</v>
      </c>
      <c r="C482" s="95">
        <v>0</v>
      </c>
      <c r="D482" s="250">
        <v>0</v>
      </c>
      <c r="E482" s="250">
        <v>0</v>
      </c>
      <c r="F482" s="253">
        <f aca="true" t="shared" si="122" ref="F482:F513">+C482+D482-E482</f>
        <v>0</v>
      </c>
      <c r="G482" s="251">
        <v>0</v>
      </c>
      <c r="H482" s="256">
        <f aca="true" t="shared" si="123" ref="H482:H513">+F482</f>
        <v>0</v>
      </c>
    </row>
    <row r="483" spans="1:8" ht="12">
      <c r="A483" s="34">
        <v>511104</v>
      </c>
      <c r="B483" s="35" t="s">
        <v>1703</v>
      </c>
      <c r="C483" s="95">
        <v>0</v>
      </c>
      <c r="D483" s="250">
        <v>0</v>
      </c>
      <c r="E483" s="250">
        <v>0</v>
      </c>
      <c r="F483" s="253">
        <f t="shared" si="122"/>
        <v>0</v>
      </c>
      <c r="G483" s="251">
        <v>0</v>
      </c>
      <c r="H483" s="256">
        <f t="shared" si="123"/>
        <v>0</v>
      </c>
    </row>
    <row r="484" spans="1:8" ht="12">
      <c r="A484" s="34">
        <v>511106</v>
      </c>
      <c r="B484" s="35" t="s">
        <v>856</v>
      </c>
      <c r="C484" s="95">
        <v>50134</v>
      </c>
      <c r="D484" s="250">
        <v>22250</v>
      </c>
      <c r="E484" s="250">
        <v>0</v>
      </c>
      <c r="F484" s="253">
        <f t="shared" si="122"/>
        <v>72384</v>
      </c>
      <c r="G484" s="251">
        <v>0</v>
      </c>
      <c r="H484" s="256">
        <f t="shared" si="123"/>
        <v>72384</v>
      </c>
    </row>
    <row r="485" spans="1:8" ht="12">
      <c r="A485" s="34">
        <v>511109</v>
      </c>
      <c r="B485" s="35" t="s">
        <v>857</v>
      </c>
      <c r="C485" s="95">
        <v>31862</v>
      </c>
      <c r="D485" s="250">
        <v>0</v>
      </c>
      <c r="E485" s="250">
        <v>0</v>
      </c>
      <c r="F485" s="253">
        <f t="shared" si="122"/>
        <v>31862</v>
      </c>
      <c r="G485" s="251">
        <v>0</v>
      </c>
      <c r="H485" s="256">
        <f t="shared" si="123"/>
        <v>31862</v>
      </c>
    </row>
    <row r="486" spans="1:8" ht="12">
      <c r="A486" s="34">
        <v>511111</v>
      </c>
      <c r="B486" s="35" t="s">
        <v>1704</v>
      </c>
      <c r="C486" s="95">
        <v>453553</v>
      </c>
      <c r="D486" s="250">
        <v>70144</v>
      </c>
      <c r="E486" s="250">
        <v>36731</v>
      </c>
      <c r="F486" s="253">
        <f t="shared" si="122"/>
        <v>486966</v>
      </c>
      <c r="G486" s="251">
        <v>0</v>
      </c>
      <c r="H486" s="256">
        <f t="shared" si="123"/>
        <v>486966</v>
      </c>
    </row>
    <row r="487" spans="1:8" ht="12">
      <c r="A487" s="34">
        <v>511113</v>
      </c>
      <c r="B487" s="35" t="s">
        <v>1705</v>
      </c>
      <c r="C487" s="95">
        <v>257212</v>
      </c>
      <c r="D487" s="250">
        <f>78595+3233</f>
        <v>81828</v>
      </c>
      <c r="E487" s="250">
        <v>0</v>
      </c>
      <c r="F487" s="253">
        <f t="shared" si="122"/>
        <v>339040</v>
      </c>
      <c r="G487" s="251">
        <v>0</v>
      </c>
      <c r="H487" s="256">
        <f t="shared" si="123"/>
        <v>339040</v>
      </c>
    </row>
    <row r="488" spans="1:8" ht="12">
      <c r="A488" s="34">
        <v>511114</v>
      </c>
      <c r="B488" s="35" t="s">
        <v>1706</v>
      </c>
      <c r="C488" s="95">
        <v>398987</v>
      </c>
      <c r="D488" s="250">
        <f>167188+51137</f>
        <v>218325</v>
      </c>
      <c r="E488" s="250">
        <v>134331</v>
      </c>
      <c r="F488" s="253">
        <f t="shared" si="122"/>
        <v>482981</v>
      </c>
      <c r="G488" s="251">
        <v>0</v>
      </c>
      <c r="H488" s="256">
        <f t="shared" si="123"/>
        <v>482981</v>
      </c>
    </row>
    <row r="489" spans="1:8" ht="12">
      <c r="A489" s="34">
        <v>511115</v>
      </c>
      <c r="B489" s="35" t="s">
        <v>850</v>
      </c>
      <c r="C489" s="95">
        <v>178238</v>
      </c>
      <c r="D489" s="250">
        <f>122237+6438</f>
        <v>128675</v>
      </c>
      <c r="E489" s="250">
        <v>23001</v>
      </c>
      <c r="F489" s="253">
        <f t="shared" si="122"/>
        <v>283912</v>
      </c>
      <c r="G489" s="251">
        <v>0</v>
      </c>
      <c r="H489" s="256">
        <f t="shared" si="123"/>
        <v>283912</v>
      </c>
    </row>
    <row r="490" spans="1:8" ht="12">
      <c r="A490" s="34">
        <v>511116</v>
      </c>
      <c r="B490" s="35" t="s">
        <v>1707</v>
      </c>
      <c r="C490" s="95">
        <v>0</v>
      </c>
      <c r="D490" s="250">
        <v>3638</v>
      </c>
      <c r="E490" s="250">
        <v>3638</v>
      </c>
      <c r="F490" s="253">
        <f t="shared" si="122"/>
        <v>0</v>
      </c>
      <c r="G490" s="251">
        <v>0</v>
      </c>
      <c r="H490" s="256">
        <f t="shared" si="123"/>
        <v>0</v>
      </c>
    </row>
    <row r="491" spans="1:8" ht="12">
      <c r="A491" s="34">
        <v>511117</v>
      </c>
      <c r="B491" s="35" t="s">
        <v>926</v>
      </c>
      <c r="C491" s="95">
        <v>376021</v>
      </c>
      <c r="D491" s="250">
        <f>239761+15227</f>
        <v>254988</v>
      </c>
      <c r="E491" s="250">
        <v>0</v>
      </c>
      <c r="F491" s="253">
        <f t="shared" si="122"/>
        <v>631009</v>
      </c>
      <c r="G491" s="251">
        <v>0</v>
      </c>
      <c r="H491" s="256">
        <f t="shared" si="123"/>
        <v>631009</v>
      </c>
    </row>
    <row r="492" spans="1:8" ht="12">
      <c r="A492" s="34">
        <v>511118</v>
      </c>
      <c r="B492" s="35" t="s">
        <v>3499</v>
      </c>
      <c r="C492" s="95">
        <v>68637</v>
      </c>
      <c r="D492" s="250">
        <f>7142+11022</f>
        <v>18164</v>
      </c>
      <c r="E492" s="250">
        <v>0</v>
      </c>
      <c r="F492" s="253">
        <f t="shared" si="122"/>
        <v>86801</v>
      </c>
      <c r="G492" s="251">
        <v>0</v>
      </c>
      <c r="H492" s="256">
        <f t="shared" si="123"/>
        <v>86801</v>
      </c>
    </row>
    <row r="493" spans="1:8" ht="12">
      <c r="A493" s="34">
        <v>511119</v>
      </c>
      <c r="B493" s="35" t="s">
        <v>1708</v>
      </c>
      <c r="C493" s="95">
        <v>619217</v>
      </c>
      <c r="D493" s="250">
        <f>164803+19098</f>
        <v>183901</v>
      </c>
      <c r="E493" s="250">
        <v>265531</v>
      </c>
      <c r="F493" s="253">
        <f t="shared" si="122"/>
        <v>537587</v>
      </c>
      <c r="G493" s="251">
        <v>0</v>
      </c>
      <c r="H493" s="256">
        <f t="shared" si="123"/>
        <v>537587</v>
      </c>
    </row>
    <row r="494" spans="1:8" ht="12">
      <c r="A494" s="34">
        <v>511120</v>
      </c>
      <c r="B494" s="35" t="s">
        <v>1709</v>
      </c>
      <c r="C494" s="95">
        <v>48329</v>
      </c>
      <c r="D494" s="250">
        <v>218</v>
      </c>
      <c r="E494" s="250">
        <v>0</v>
      </c>
      <c r="F494" s="253">
        <f t="shared" si="122"/>
        <v>48547</v>
      </c>
      <c r="G494" s="251">
        <v>0</v>
      </c>
      <c r="H494" s="256">
        <f t="shared" si="123"/>
        <v>48547</v>
      </c>
    </row>
    <row r="495" spans="1:8" ht="24">
      <c r="A495" s="34">
        <v>511121</v>
      </c>
      <c r="B495" s="35" t="s">
        <v>1710</v>
      </c>
      <c r="C495" s="95">
        <v>81367</v>
      </c>
      <c r="D495" s="250">
        <f>9794+4058</f>
        <v>13852</v>
      </c>
      <c r="E495" s="250">
        <v>189</v>
      </c>
      <c r="F495" s="253">
        <f t="shared" si="122"/>
        <v>95030</v>
      </c>
      <c r="G495" s="251">
        <v>0</v>
      </c>
      <c r="H495" s="256">
        <f t="shared" si="123"/>
        <v>95030</v>
      </c>
    </row>
    <row r="496" spans="1:8" ht="12">
      <c r="A496" s="34">
        <v>511122</v>
      </c>
      <c r="B496" s="35" t="s">
        <v>1711</v>
      </c>
      <c r="C496" s="95">
        <v>8501</v>
      </c>
      <c r="D496" s="250">
        <v>0</v>
      </c>
      <c r="E496" s="250">
        <v>1500</v>
      </c>
      <c r="F496" s="253">
        <f t="shared" si="122"/>
        <v>7001</v>
      </c>
      <c r="G496" s="251">
        <v>0</v>
      </c>
      <c r="H496" s="256">
        <f t="shared" si="123"/>
        <v>7001</v>
      </c>
    </row>
    <row r="497" spans="1:8" ht="12">
      <c r="A497" s="34">
        <v>511123</v>
      </c>
      <c r="B497" s="35" t="s">
        <v>1712</v>
      </c>
      <c r="C497" s="95">
        <v>158681</v>
      </c>
      <c r="D497" s="250">
        <f>43337+41257</f>
        <v>84594</v>
      </c>
      <c r="E497" s="250">
        <v>0</v>
      </c>
      <c r="F497" s="253">
        <f t="shared" si="122"/>
        <v>243275</v>
      </c>
      <c r="G497" s="251">
        <v>0</v>
      </c>
      <c r="H497" s="256">
        <f t="shared" si="123"/>
        <v>243275</v>
      </c>
    </row>
    <row r="498" spans="1:8" ht="12">
      <c r="A498" s="34">
        <v>511125</v>
      </c>
      <c r="B498" s="35" t="s">
        <v>1713</v>
      </c>
      <c r="C498" s="95">
        <v>151770</v>
      </c>
      <c r="D498" s="250">
        <f>34782+1848</f>
        <v>36630</v>
      </c>
      <c r="E498" s="250">
        <v>0</v>
      </c>
      <c r="F498" s="253">
        <f t="shared" si="122"/>
        <v>188400</v>
      </c>
      <c r="G498" s="251">
        <v>0</v>
      </c>
      <c r="H498" s="256">
        <f t="shared" si="123"/>
        <v>188400</v>
      </c>
    </row>
    <row r="499" spans="1:8" ht="12">
      <c r="A499" s="34">
        <v>511126</v>
      </c>
      <c r="B499" s="35" t="s">
        <v>1714</v>
      </c>
      <c r="C499" s="95">
        <v>2</v>
      </c>
      <c r="D499" s="250">
        <v>2</v>
      </c>
      <c r="E499" s="250">
        <v>0</v>
      </c>
      <c r="F499" s="253">
        <f t="shared" si="122"/>
        <v>4</v>
      </c>
      <c r="G499" s="251">
        <v>0</v>
      </c>
      <c r="H499" s="256">
        <f t="shared" si="123"/>
        <v>4</v>
      </c>
    </row>
    <row r="500" spans="1:8" ht="12">
      <c r="A500" s="34">
        <v>511127</v>
      </c>
      <c r="B500" s="35" t="s">
        <v>1715</v>
      </c>
      <c r="C500" s="95">
        <v>29928</v>
      </c>
      <c r="D500" s="250">
        <v>0</v>
      </c>
      <c r="E500" s="250">
        <v>0</v>
      </c>
      <c r="F500" s="253">
        <f t="shared" si="122"/>
        <v>29928</v>
      </c>
      <c r="G500" s="251">
        <v>0</v>
      </c>
      <c r="H500" s="256">
        <f t="shared" si="123"/>
        <v>29928</v>
      </c>
    </row>
    <row r="501" spans="1:8" ht="12">
      <c r="A501" s="34">
        <v>511128</v>
      </c>
      <c r="B501" s="35" t="s">
        <v>1716</v>
      </c>
      <c r="C501" s="95">
        <v>0</v>
      </c>
      <c r="D501" s="250">
        <v>0</v>
      </c>
      <c r="E501" s="250">
        <v>0</v>
      </c>
      <c r="F501" s="253">
        <f t="shared" si="122"/>
        <v>0</v>
      </c>
      <c r="G501" s="251">
        <v>0</v>
      </c>
      <c r="H501" s="256">
        <f t="shared" si="123"/>
        <v>0</v>
      </c>
    </row>
    <row r="502" spans="1:8" ht="12">
      <c r="A502" s="34">
        <v>511131</v>
      </c>
      <c r="B502" s="35" t="s">
        <v>1717</v>
      </c>
      <c r="C502" s="95">
        <v>0</v>
      </c>
      <c r="D502" s="250">
        <v>0</v>
      </c>
      <c r="E502" s="250">
        <v>0</v>
      </c>
      <c r="F502" s="253">
        <f t="shared" si="122"/>
        <v>0</v>
      </c>
      <c r="G502" s="251">
        <v>0</v>
      </c>
      <c r="H502" s="256">
        <f t="shared" si="123"/>
        <v>0</v>
      </c>
    </row>
    <row r="503" spans="1:8" ht="12">
      <c r="A503" s="34">
        <v>511132</v>
      </c>
      <c r="B503" s="35" t="s">
        <v>1718</v>
      </c>
      <c r="C503" s="95">
        <v>5000</v>
      </c>
      <c r="D503" s="250">
        <v>0</v>
      </c>
      <c r="E503" s="250">
        <v>0</v>
      </c>
      <c r="F503" s="253">
        <f t="shared" si="122"/>
        <v>5000</v>
      </c>
      <c r="G503" s="251">
        <v>0</v>
      </c>
      <c r="H503" s="256">
        <f t="shared" si="123"/>
        <v>5000</v>
      </c>
    </row>
    <row r="504" spans="1:8" ht="12">
      <c r="A504" s="34">
        <v>511133</v>
      </c>
      <c r="B504" s="35" t="s">
        <v>1719</v>
      </c>
      <c r="C504" s="95">
        <v>0</v>
      </c>
      <c r="D504" s="250">
        <v>0</v>
      </c>
      <c r="E504" s="250">
        <v>0</v>
      </c>
      <c r="F504" s="253">
        <f t="shared" si="122"/>
        <v>0</v>
      </c>
      <c r="G504" s="251">
        <v>0</v>
      </c>
      <c r="H504" s="256">
        <f t="shared" si="123"/>
        <v>0</v>
      </c>
    </row>
    <row r="505" spans="1:8" ht="12">
      <c r="A505" s="34">
        <v>511136</v>
      </c>
      <c r="B505" s="35" t="s">
        <v>1720</v>
      </c>
      <c r="C505" s="95">
        <v>0</v>
      </c>
      <c r="D505" s="250">
        <v>0</v>
      </c>
      <c r="E505" s="250">
        <v>0</v>
      </c>
      <c r="F505" s="253">
        <f t="shared" si="122"/>
        <v>0</v>
      </c>
      <c r="G505" s="251">
        <v>0</v>
      </c>
      <c r="H505" s="256">
        <f t="shared" si="123"/>
        <v>0</v>
      </c>
    </row>
    <row r="506" spans="1:8" ht="12">
      <c r="A506" s="34">
        <v>511137</v>
      </c>
      <c r="B506" s="35" t="s">
        <v>1721</v>
      </c>
      <c r="C506" s="95">
        <v>8955</v>
      </c>
      <c r="D506" s="250">
        <v>0</v>
      </c>
      <c r="E506" s="250">
        <v>0</v>
      </c>
      <c r="F506" s="253">
        <f t="shared" si="122"/>
        <v>8955</v>
      </c>
      <c r="G506" s="251">
        <v>0</v>
      </c>
      <c r="H506" s="256">
        <f t="shared" si="123"/>
        <v>8955</v>
      </c>
    </row>
    <row r="507" spans="1:8" ht="12">
      <c r="A507" s="34">
        <v>511146</v>
      </c>
      <c r="B507" s="35" t="s">
        <v>1722</v>
      </c>
      <c r="C507" s="95">
        <v>58317</v>
      </c>
      <c r="D507" s="250">
        <f>41253+1360</f>
        <v>42613</v>
      </c>
      <c r="E507" s="250">
        <v>0</v>
      </c>
      <c r="F507" s="253">
        <f t="shared" si="122"/>
        <v>100930</v>
      </c>
      <c r="G507" s="251">
        <v>0</v>
      </c>
      <c r="H507" s="256">
        <f t="shared" si="123"/>
        <v>100930</v>
      </c>
    </row>
    <row r="508" spans="1:8" s="15" customFormat="1" ht="12">
      <c r="A508" s="34">
        <v>511149</v>
      </c>
      <c r="B508" s="35" t="s">
        <v>1723</v>
      </c>
      <c r="C508" s="95">
        <v>163866</v>
      </c>
      <c r="D508" s="250">
        <v>79041</v>
      </c>
      <c r="E508" s="250">
        <v>0</v>
      </c>
      <c r="F508" s="253">
        <f t="shared" si="122"/>
        <v>242907</v>
      </c>
      <c r="G508" s="251">
        <v>0</v>
      </c>
      <c r="H508" s="256">
        <f t="shared" si="123"/>
        <v>242907</v>
      </c>
    </row>
    <row r="509" spans="1:8" ht="12">
      <c r="A509" s="34">
        <v>511150</v>
      </c>
      <c r="B509" s="35" t="s">
        <v>1724</v>
      </c>
      <c r="C509" s="95">
        <v>32640</v>
      </c>
      <c r="D509" s="250">
        <v>11000</v>
      </c>
      <c r="E509" s="250">
        <v>11000</v>
      </c>
      <c r="F509" s="253">
        <f t="shared" si="122"/>
        <v>32640</v>
      </c>
      <c r="G509" s="251">
        <v>0</v>
      </c>
      <c r="H509" s="256">
        <f t="shared" si="123"/>
        <v>32640</v>
      </c>
    </row>
    <row r="510" spans="1:8" ht="12">
      <c r="A510" s="34">
        <v>511152</v>
      </c>
      <c r="B510" s="35" t="s">
        <v>1725</v>
      </c>
      <c r="C510" s="95">
        <v>0</v>
      </c>
      <c r="D510" s="250">
        <v>0</v>
      </c>
      <c r="E510" s="250">
        <v>0</v>
      </c>
      <c r="F510" s="253">
        <f t="shared" si="122"/>
        <v>0</v>
      </c>
      <c r="G510" s="251">
        <v>0</v>
      </c>
      <c r="H510" s="256">
        <f t="shared" si="123"/>
        <v>0</v>
      </c>
    </row>
    <row r="511" spans="1:8" ht="12">
      <c r="A511" s="34">
        <v>511154</v>
      </c>
      <c r="B511" s="35" t="s">
        <v>1726</v>
      </c>
      <c r="C511" s="95">
        <v>21722</v>
      </c>
      <c r="D511" s="250">
        <v>36491</v>
      </c>
      <c r="E511" s="250">
        <v>0</v>
      </c>
      <c r="F511" s="253">
        <f t="shared" si="122"/>
        <v>58213</v>
      </c>
      <c r="G511" s="251">
        <v>0</v>
      </c>
      <c r="H511" s="256">
        <f t="shared" si="123"/>
        <v>58213</v>
      </c>
    </row>
    <row r="512" spans="1:8" ht="24">
      <c r="A512" s="34">
        <v>511155</v>
      </c>
      <c r="B512" s="35" t="s">
        <v>1727</v>
      </c>
      <c r="C512" s="95">
        <v>8221</v>
      </c>
      <c r="D512" s="250">
        <f>23907+1087</f>
        <v>24994</v>
      </c>
      <c r="E512" s="250">
        <v>12319</v>
      </c>
      <c r="F512" s="253">
        <f t="shared" si="122"/>
        <v>20896</v>
      </c>
      <c r="G512" s="251">
        <v>0</v>
      </c>
      <c r="H512" s="256">
        <f t="shared" si="123"/>
        <v>20896</v>
      </c>
    </row>
    <row r="513" spans="1:8" ht="12">
      <c r="A513" s="34">
        <v>511190</v>
      </c>
      <c r="B513" s="35" t="s">
        <v>1728</v>
      </c>
      <c r="C513" s="95">
        <v>0</v>
      </c>
      <c r="D513" s="250">
        <v>1930</v>
      </c>
      <c r="E513" s="250">
        <v>0</v>
      </c>
      <c r="F513" s="253">
        <f t="shared" si="122"/>
        <v>1930</v>
      </c>
      <c r="G513" s="251">
        <v>0</v>
      </c>
      <c r="H513" s="256">
        <f t="shared" si="123"/>
        <v>1930</v>
      </c>
    </row>
    <row r="514" spans="1:8" ht="24">
      <c r="A514" s="32">
        <v>512000</v>
      </c>
      <c r="B514" s="33" t="s">
        <v>1729</v>
      </c>
      <c r="C514" s="91">
        <f aca="true" t="shared" si="124" ref="C514:H514">+SUM(C515:C524)</f>
        <v>2030665</v>
      </c>
      <c r="D514" s="91">
        <f t="shared" si="124"/>
        <v>28807164</v>
      </c>
      <c r="E514" s="91">
        <f t="shared" si="124"/>
        <v>1301332</v>
      </c>
      <c r="F514" s="91">
        <f t="shared" si="124"/>
        <v>29536497</v>
      </c>
      <c r="G514" s="91">
        <f t="shared" si="124"/>
        <v>0</v>
      </c>
      <c r="H514" s="25">
        <f t="shared" si="124"/>
        <v>29536497</v>
      </c>
    </row>
    <row r="515" spans="1:8" ht="12">
      <c r="A515" s="34">
        <v>512001</v>
      </c>
      <c r="B515" s="35" t="s">
        <v>958</v>
      </c>
      <c r="C515" s="95">
        <v>10067</v>
      </c>
      <c r="D515" s="250">
        <v>115059</v>
      </c>
      <c r="E515" s="250">
        <v>0</v>
      </c>
      <c r="F515" s="253">
        <f aca="true" t="shared" si="125" ref="F515:F524">+C515+D515-E515</f>
        <v>125126</v>
      </c>
      <c r="G515" s="251">
        <v>0</v>
      </c>
      <c r="H515" s="256">
        <f aca="true" t="shared" si="126" ref="H515:H524">+F515</f>
        <v>125126</v>
      </c>
    </row>
    <row r="516" spans="1:8" ht="12">
      <c r="A516" s="34">
        <v>512002</v>
      </c>
      <c r="B516" s="35" t="s">
        <v>1730</v>
      </c>
      <c r="C516" s="95">
        <v>1990733</v>
      </c>
      <c r="D516" s="250">
        <v>28691805</v>
      </c>
      <c r="E516" s="250">
        <v>1278322</v>
      </c>
      <c r="F516" s="253">
        <f t="shared" si="125"/>
        <v>29404216</v>
      </c>
      <c r="G516" s="251">
        <v>0</v>
      </c>
      <c r="H516" s="256">
        <f t="shared" si="126"/>
        <v>29404216</v>
      </c>
    </row>
    <row r="517" spans="1:8" ht="24">
      <c r="A517" s="34">
        <v>512003</v>
      </c>
      <c r="B517" s="35" t="s">
        <v>1731</v>
      </c>
      <c r="C517" s="95">
        <v>0</v>
      </c>
      <c r="D517" s="250">
        <v>0</v>
      </c>
      <c r="E517" s="250">
        <v>0</v>
      </c>
      <c r="F517" s="253">
        <f t="shared" si="125"/>
        <v>0</v>
      </c>
      <c r="G517" s="251">
        <v>0</v>
      </c>
      <c r="H517" s="256">
        <f t="shared" si="126"/>
        <v>0</v>
      </c>
    </row>
    <row r="518" spans="1:8" ht="12">
      <c r="A518" s="34">
        <v>512006</v>
      </c>
      <c r="B518" s="35" t="s">
        <v>959</v>
      </c>
      <c r="C518" s="95">
        <v>23010</v>
      </c>
      <c r="D518" s="250">
        <v>0</v>
      </c>
      <c r="E518" s="250">
        <v>23010</v>
      </c>
      <c r="F518" s="253">
        <f t="shared" si="125"/>
        <v>0</v>
      </c>
      <c r="G518" s="251">
        <v>0</v>
      </c>
      <c r="H518" s="256">
        <f t="shared" si="126"/>
        <v>0</v>
      </c>
    </row>
    <row r="519" spans="1:8" s="15" customFormat="1" ht="12">
      <c r="A519" s="34">
        <v>512007</v>
      </c>
      <c r="B519" s="35" t="s">
        <v>3471</v>
      </c>
      <c r="C519" s="95">
        <v>0</v>
      </c>
      <c r="D519" s="250">
        <v>0</v>
      </c>
      <c r="E519" s="250">
        <v>0</v>
      </c>
      <c r="F519" s="253">
        <f t="shared" si="125"/>
        <v>0</v>
      </c>
      <c r="G519" s="251">
        <v>0</v>
      </c>
      <c r="H519" s="256">
        <f t="shared" si="126"/>
        <v>0</v>
      </c>
    </row>
    <row r="520" spans="1:8" s="15" customFormat="1" ht="12">
      <c r="A520" s="34">
        <v>512009</v>
      </c>
      <c r="B520" s="35" t="s">
        <v>1732</v>
      </c>
      <c r="C520" s="95">
        <v>0</v>
      </c>
      <c r="D520" s="250">
        <v>0</v>
      </c>
      <c r="E520" s="250">
        <v>0</v>
      </c>
      <c r="F520" s="253">
        <f t="shared" si="125"/>
        <v>0</v>
      </c>
      <c r="G520" s="251">
        <v>0</v>
      </c>
      <c r="H520" s="256">
        <f t="shared" si="126"/>
        <v>0</v>
      </c>
    </row>
    <row r="521" spans="1:8" ht="12">
      <c r="A521" s="34">
        <v>512010</v>
      </c>
      <c r="B521" s="35" t="s">
        <v>3470</v>
      </c>
      <c r="C521" s="95">
        <v>0</v>
      </c>
      <c r="D521" s="250">
        <v>0</v>
      </c>
      <c r="E521" s="250">
        <v>0</v>
      </c>
      <c r="F521" s="253">
        <f t="shared" si="125"/>
        <v>0</v>
      </c>
      <c r="G521" s="251">
        <v>0</v>
      </c>
      <c r="H521" s="256">
        <f t="shared" si="126"/>
        <v>0</v>
      </c>
    </row>
    <row r="522" spans="1:8" ht="12">
      <c r="A522" s="34">
        <v>512011</v>
      </c>
      <c r="B522" s="35" t="s">
        <v>961</v>
      </c>
      <c r="C522" s="95">
        <v>6855</v>
      </c>
      <c r="D522" s="250">
        <v>0</v>
      </c>
      <c r="E522" s="250">
        <v>0</v>
      </c>
      <c r="F522" s="253">
        <f t="shared" si="125"/>
        <v>6855</v>
      </c>
      <c r="G522" s="251">
        <v>0</v>
      </c>
      <c r="H522" s="256">
        <f t="shared" si="126"/>
        <v>6855</v>
      </c>
    </row>
    <row r="523" spans="1:8" ht="12">
      <c r="A523" s="34">
        <v>512024</v>
      </c>
      <c r="B523" s="35" t="s">
        <v>1733</v>
      </c>
      <c r="C523" s="95">
        <v>0</v>
      </c>
      <c r="D523" s="250">
        <v>0</v>
      </c>
      <c r="E523" s="250">
        <v>0</v>
      </c>
      <c r="F523" s="253">
        <f t="shared" si="125"/>
        <v>0</v>
      </c>
      <c r="G523" s="251">
        <v>0</v>
      </c>
      <c r="H523" s="256">
        <f t="shared" si="126"/>
        <v>0</v>
      </c>
    </row>
    <row r="524" spans="1:8" s="15" customFormat="1" ht="12">
      <c r="A524" s="34">
        <v>512090</v>
      </c>
      <c r="B524" s="35" t="s">
        <v>1734</v>
      </c>
      <c r="C524" s="95">
        <v>0</v>
      </c>
      <c r="D524" s="250">
        <v>300</v>
      </c>
      <c r="E524" s="250">
        <v>0</v>
      </c>
      <c r="F524" s="253">
        <f t="shared" si="125"/>
        <v>300</v>
      </c>
      <c r="G524" s="251">
        <v>0</v>
      </c>
      <c r="H524" s="256">
        <f t="shared" si="126"/>
        <v>300</v>
      </c>
    </row>
    <row r="525" spans="1:8" ht="12">
      <c r="A525" s="32">
        <v>520000</v>
      </c>
      <c r="B525" s="35" t="s">
        <v>1735</v>
      </c>
      <c r="C525" s="251">
        <f aca="true" t="shared" si="127" ref="C525:H525">C526+C528</f>
        <v>0</v>
      </c>
      <c r="D525" s="251">
        <f t="shared" si="127"/>
        <v>30349</v>
      </c>
      <c r="E525" s="251">
        <f t="shared" si="127"/>
        <v>30349</v>
      </c>
      <c r="F525" s="251">
        <f t="shared" si="127"/>
        <v>0</v>
      </c>
      <c r="G525" s="251">
        <f t="shared" si="127"/>
        <v>0</v>
      </c>
      <c r="H525" s="256">
        <f t="shared" si="127"/>
        <v>0</v>
      </c>
    </row>
    <row r="526" spans="1:8" s="15" customFormat="1" ht="12">
      <c r="A526" s="32">
        <v>520200</v>
      </c>
      <c r="B526" s="35" t="s">
        <v>1659</v>
      </c>
      <c r="C526" s="253">
        <f aca="true" t="shared" si="128" ref="C526:H526">+C527</f>
        <v>0</v>
      </c>
      <c r="D526" s="253">
        <f t="shared" si="128"/>
        <v>29760</v>
      </c>
      <c r="E526" s="253">
        <f t="shared" si="128"/>
        <v>29760</v>
      </c>
      <c r="F526" s="253">
        <f t="shared" si="128"/>
        <v>0</v>
      </c>
      <c r="G526" s="253">
        <f t="shared" si="128"/>
        <v>0</v>
      </c>
      <c r="H526" s="257">
        <f t="shared" si="128"/>
        <v>0</v>
      </c>
    </row>
    <row r="527" spans="1:8" ht="12">
      <c r="A527" s="34">
        <v>520205</v>
      </c>
      <c r="B527" s="35" t="s">
        <v>1664</v>
      </c>
      <c r="C527" s="95">
        <v>0</v>
      </c>
      <c r="D527" s="250">
        <v>29760</v>
      </c>
      <c r="E527" s="250">
        <v>29760</v>
      </c>
      <c r="F527" s="253">
        <f>+C527+D527-E527</f>
        <v>0</v>
      </c>
      <c r="G527" s="251">
        <v>0</v>
      </c>
      <c r="H527" s="256">
        <f>+F527</f>
        <v>0</v>
      </c>
    </row>
    <row r="528" spans="1:8" s="15" customFormat="1" ht="12">
      <c r="A528" s="32">
        <v>521100</v>
      </c>
      <c r="B528" s="35" t="s">
        <v>1701</v>
      </c>
      <c r="C528" s="251">
        <f aca="true" t="shared" si="129" ref="C528:H528">+C529</f>
        <v>0</v>
      </c>
      <c r="D528" s="251">
        <f t="shared" si="129"/>
        <v>589</v>
      </c>
      <c r="E528" s="251">
        <f t="shared" si="129"/>
        <v>589</v>
      </c>
      <c r="F528" s="251">
        <f t="shared" si="129"/>
        <v>0</v>
      </c>
      <c r="G528" s="251">
        <f t="shared" si="129"/>
        <v>0</v>
      </c>
      <c r="H528" s="256">
        <f t="shared" si="129"/>
        <v>0</v>
      </c>
    </row>
    <row r="529" spans="1:8" ht="12">
      <c r="A529" s="34">
        <v>521115</v>
      </c>
      <c r="B529" s="35" t="s">
        <v>1736</v>
      </c>
      <c r="C529" s="95">
        <v>0</v>
      </c>
      <c r="D529" s="250">
        <v>589</v>
      </c>
      <c r="E529" s="250">
        <v>589</v>
      </c>
      <c r="F529" s="253">
        <f>+C529+D529-E529</f>
        <v>0</v>
      </c>
      <c r="G529" s="251">
        <v>0</v>
      </c>
      <c r="H529" s="256">
        <f>+F529</f>
        <v>0</v>
      </c>
    </row>
    <row r="530" spans="1:8" s="15" customFormat="1" ht="24">
      <c r="A530" s="32">
        <v>530000</v>
      </c>
      <c r="B530" s="33" t="s">
        <v>1737</v>
      </c>
      <c r="C530" s="91">
        <f aca="true" t="shared" si="130" ref="C530:H530">+C531+C535+C537+C539+C541+C549+C551</f>
        <v>3867863</v>
      </c>
      <c r="D530" s="91">
        <f t="shared" si="130"/>
        <v>756518</v>
      </c>
      <c r="E530" s="91">
        <f t="shared" si="130"/>
        <v>220438</v>
      </c>
      <c r="F530" s="91">
        <f t="shared" si="130"/>
        <v>4403943</v>
      </c>
      <c r="G530" s="91">
        <f t="shared" si="130"/>
        <v>0</v>
      </c>
      <c r="H530" s="25">
        <f t="shared" si="130"/>
        <v>4403943</v>
      </c>
    </row>
    <row r="531" spans="1:8" ht="12">
      <c r="A531" s="32">
        <v>530400</v>
      </c>
      <c r="B531" s="33" t="s">
        <v>1738</v>
      </c>
      <c r="C531" s="91">
        <f aca="true" t="shared" si="131" ref="C531:H531">+C532+C533+C534</f>
        <v>0</v>
      </c>
      <c r="D531" s="91">
        <f t="shared" si="131"/>
        <v>0</v>
      </c>
      <c r="E531" s="91">
        <f t="shared" si="131"/>
        <v>0</v>
      </c>
      <c r="F531" s="91">
        <f t="shared" si="131"/>
        <v>0</v>
      </c>
      <c r="G531" s="91">
        <f t="shared" si="131"/>
        <v>0</v>
      </c>
      <c r="H531" s="25">
        <f t="shared" si="131"/>
        <v>0</v>
      </c>
    </row>
    <row r="532" spans="1:8" ht="12">
      <c r="A532" s="34">
        <v>530403</v>
      </c>
      <c r="B532" s="35" t="s">
        <v>3506</v>
      </c>
      <c r="C532" s="95">
        <v>0</v>
      </c>
      <c r="D532" s="250">
        <v>0</v>
      </c>
      <c r="E532" s="250">
        <v>0</v>
      </c>
      <c r="F532" s="253">
        <f>+C532+D532-E532</f>
        <v>0</v>
      </c>
      <c r="G532" s="251">
        <v>0</v>
      </c>
      <c r="H532" s="256">
        <f>+F532</f>
        <v>0</v>
      </c>
    </row>
    <row r="533" spans="1:8" ht="12">
      <c r="A533" s="34">
        <v>530410</v>
      </c>
      <c r="B533" s="35" t="s">
        <v>3505</v>
      </c>
      <c r="C533" s="95">
        <v>0</v>
      </c>
      <c r="D533" s="250">
        <v>0</v>
      </c>
      <c r="E533" s="250">
        <v>0</v>
      </c>
      <c r="F533" s="253">
        <f>+C533+D533-E533</f>
        <v>0</v>
      </c>
      <c r="G533" s="251">
        <v>0</v>
      </c>
      <c r="H533" s="256">
        <f>+F533</f>
        <v>0</v>
      </c>
    </row>
    <row r="534" spans="1:8" ht="12">
      <c r="A534" s="34">
        <v>530490</v>
      </c>
      <c r="B534" s="35" t="s">
        <v>3508</v>
      </c>
      <c r="C534" s="95">
        <v>0</v>
      </c>
      <c r="D534" s="250">
        <v>0</v>
      </c>
      <c r="E534" s="250">
        <v>0</v>
      </c>
      <c r="F534" s="253">
        <f>+C534+D534-E534</f>
        <v>0</v>
      </c>
      <c r="G534" s="251">
        <v>0</v>
      </c>
      <c r="H534" s="256">
        <f>+F534</f>
        <v>0</v>
      </c>
    </row>
    <row r="535" spans="1:8" ht="24">
      <c r="A535" s="32">
        <v>530900</v>
      </c>
      <c r="B535" s="33" t="s">
        <v>1739</v>
      </c>
      <c r="C535" s="91">
        <f aca="true" t="shared" si="132" ref="C535:H535">+C536</f>
        <v>0</v>
      </c>
      <c r="D535" s="91">
        <f t="shared" si="132"/>
        <v>0</v>
      </c>
      <c r="E535" s="91">
        <f t="shared" si="132"/>
        <v>0</v>
      </c>
      <c r="F535" s="91">
        <f t="shared" si="132"/>
        <v>0</v>
      </c>
      <c r="G535" s="91">
        <f t="shared" si="132"/>
        <v>0</v>
      </c>
      <c r="H535" s="25">
        <f t="shared" si="132"/>
        <v>0</v>
      </c>
    </row>
    <row r="536" spans="1:8" ht="12">
      <c r="A536" s="34">
        <v>530902</v>
      </c>
      <c r="B536" s="35" t="s">
        <v>871</v>
      </c>
      <c r="C536" s="95">
        <v>0</v>
      </c>
      <c r="D536" s="250">
        <v>0</v>
      </c>
      <c r="E536" s="250">
        <v>0</v>
      </c>
      <c r="F536" s="253">
        <f>+C536+D536-E536</f>
        <v>0</v>
      </c>
      <c r="G536" s="251">
        <v>0</v>
      </c>
      <c r="H536" s="256">
        <f>+F536</f>
        <v>0</v>
      </c>
    </row>
    <row r="537" spans="1:8" ht="24">
      <c r="A537" s="32">
        <v>531200</v>
      </c>
      <c r="B537" s="33" t="s">
        <v>899</v>
      </c>
      <c r="C537" s="91">
        <f>+C538</f>
        <v>0</v>
      </c>
      <c r="D537" s="251">
        <f>D538</f>
        <v>0</v>
      </c>
      <c r="E537" s="251">
        <f>E538</f>
        <v>0</v>
      </c>
      <c r="F537" s="251">
        <f>F538</f>
        <v>0</v>
      </c>
      <c r="G537" s="251">
        <f>G538</f>
        <v>0</v>
      </c>
      <c r="H537" s="256">
        <f>H538</f>
        <v>0</v>
      </c>
    </row>
    <row r="538" spans="1:8" s="15" customFormat="1" ht="12">
      <c r="A538" s="34">
        <v>531201</v>
      </c>
      <c r="B538" s="35" t="s">
        <v>895</v>
      </c>
      <c r="C538" s="95">
        <v>0</v>
      </c>
      <c r="D538" s="250">
        <v>0</v>
      </c>
      <c r="E538" s="250">
        <v>0</v>
      </c>
      <c r="F538" s="253">
        <v>0</v>
      </c>
      <c r="G538" s="251">
        <v>0</v>
      </c>
      <c r="H538" s="256">
        <f>+F538</f>
        <v>0</v>
      </c>
    </row>
    <row r="539" spans="1:8" ht="12">
      <c r="A539" s="32">
        <v>531400</v>
      </c>
      <c r="B539" s="33" t="s">
        <v>977</v>
      </c>
      <c r="C539" s="91">
        <f aca="true" t="shared" si="133" ref="C539:H539">+C540</f>
        <v>2203155</v>
      </c>
      <c r="D539" s="91">
        <f t="shared" si="133"/>
        <v>291910</v>
      </c>
      <c r="E539" s="91">
        <f t="shared" si="133"/>
        <v>0</v>
      </c>
      <c r="F539" s="91">
        <f t="shared" si="133"/>
        <v>2495065</v>
      </c>
      <c r="G539" s="91">
        <f t="shared" si="133"/>
        <v>0</v>
      </c>
      <c r="H539" s="25">
        <f t="shared" si="133"/>
        <v>2495065</v>
      </c>
    </row>
    <row r="540" spans="1:8" ht="12">
      <c r="A540" s="34">
        <v>531401</v>
      </c>
      <c r="B540" s="35" t="s">
        <v>1740</v>
      </c>
      <c r="C540" s="95">
        <v>2203155</v>
      </c>
      <c r="D540" s="250">
        <f>289978+1932</f>
        <v>291910</v>
      </c>
      <c r="E540" s="250">
        <v>0</v>
      </c>
      <c r="F540" s="253">
        <f>+C540+D540-E540</f>
        <v>2495065</v>
      </c>
      <c r="G540" s="251">
        <v>0</v>
      </c>
      <c r="H540" s="256">
        <f>+F540</f>
        <v>2495065</v>
      </c>
    </row>
    <row r="541" spans="1:8" ht="24">
      <c r="A541" s="32">
        <v>533000</v>
      </c>
      <c r="B541" s="33" t="s">
        <v>1741</v>
      </c>
      <c r="C541" s="91">
        <f aca="true" t="shared" si="134" ref="C541:H541">+SUM(C542:C548)</f>
        <v>1337767</v>
      </c>
      <c r="D541" s="91">
        <f t="shared" si="134"/>
        <v>376431</v>
      </c>
      <c r="E541" s="91">
        <f t="shared" si="134"/>
        <v>200429</v>
      </c>
      <c r="F541" s="91">
        <f t="shared" si="134"/>
        <v>1513769</v>
      </c>
      <c r="G541" s="91">
        <f t="shared" si="134"/>
        <v>0</v>
      </c>
      <c r="H541" s="25">
        <f t="shared" si="134"/>
        <v>1513769</v>
      </c>
    </row>
    <row r="542" spans="1:8" ht="12">
      <c r="A542" s="34">
        <v>533001</v>
      </c>
      <c r="B542" s="35" t="s">
        <v>840</v>
      </c>
      <c r="C542" s="95">
        <v>747838</v>
      </c>
      <c r="D542" s="250">
        <v>216147</v>
      </c>
      <c r="E542" s="250">
        <v>200293</v>
      </c>
      <c r="F542" s="253">
        <f aca="true" t="shared" si="135" ref="F542:F548">+C542+D542-E542</f>
        <v>763692</v>
      </c>
      <c r="G542" s="251">
        <v>0</v>
      </c>
      <c r="H542" s="256">
        <f aca="true" t="shared" si="136" ref="H542:H548">+F542</f>
        <v>763692</v>
      </c>
    </row>
    <row r="543" spans="1:8" s="15" customFormat="1" ht="12">
      <c r="A543" s="34">
        <v>533004</v>
      </c>
      <c r="B543" s="35" t="s">
        <v>3524</v>
      </c>
      <c r="C543" s="95">
        <v>1116</v>
      </c>
      <c r="D543" s="250">
        <f>414+92</f>
        <v>506</v>
      </c>
      <c r="E543" s="250">
        <v>136</v>
      </c>
      <c r="F543" s="253">
        <f t="shared" si="135"/>
        <v>1486</v>
      </c>
      <c r="G543" s="251">
        <v>0</v>
      </c>
      <c r="H543" s="256">
        <f t="shared" si="136"/>
        <v>1486</v>
      </c>
    </row>
    <row r="544" spans="1:8" s="15" customFormat="1" ht="12">
      <c r="A544" s="34">
        <v>533005</v>
      </c>
      <c r="B544" s="35" t="s">
        <v>1742</v>
      </c>
      <c r="C544" s="95">
        <v>0</v>
      </c>
      <c r="D544" s="250">
        <v>0</v>
      </c>
      <c r="E544" s="250">
        <v>0</v>
      </c>
      <c r="F544" s="253">
        <f t="shared" si="135"/>
        <v>0</v>
      </c>
      <c r="G544" s="251">
        <v>0</v>
      </c>
      <c r="H544" s="256">
        <f t="shared" si="136"/>
        <v>0</v>
      </c>
    </row>
    <row r="545" spans="1:8" ht="12">
      <c r="A545" s="34">
        <v>533006</v>
      </c>
      <c r="B545" s="35" t="s">
        <v>1743</v>
      </c>
      <c r="C545" s="95">
        <v>20182</v>
      </c>
      <c r="D545" s="250">
        <f>1128+1152</f>
        <v>2280</v>
      </c>
      <c r="E545" s="250">
        <v>0</v>
      </c>
      <c r="F545" s="253">
        <f t="shared" si="135"/>
        <v>22462</v>
      </c>
      <c r="G545" s="251">
        <v>0</v>
      </c>
      <c r="H545" s="256">
        <f t="shared" si="136"/>
        <v>22462</v>
      </c>
    </row>
    <row r="546" spans="1:8" ht="12">
      <c r="A546" s="34">
        <v>533007</v>
      </c>
      <c r="B546" s="35" t="s">
        <v>905</v>
      </c>
      <c r="C546" s="95">
        <v>520118</v>
      </c>
      <c r="D546" s="250">
        <f>123578+11503</f>
        <v>135081</v>
      </c>
      <c r="E546" s="250">
        <v>0</v>
      </c>
      <c r="F546" s="253">
        <f t="shared" si="135"/>
        <v>655199</v>
      </c>
      <c r="G546" s="251">
        <v>0</v>
      </c>
      <c r="H546" s="256">
        <f t="shared" si="136"/>
        <v>655199</v>
      </c>
    </row>
    <row r="547" spans="1:8" ht="24">
      <c r="A547" s="34">
        <v>533008</v>
      </c>
      <c r="B547" s="35" t="s">
        <v>1002</v>
      </c>
      <c r="C547" s="95">
        <v>48513</v>
      </c>
      <c r="D547" s="250">
        <v>22167</v>
      </c>
      <c r="E547" s="250">
        <v>0</v>
      </c>
      <c r="F547" s="253">
        <f t="shared" si="135"/>
        <v>70680</v>
      </c>
      <c r="G547" s="251">
        <v>0</v>
      </c>
      <c r="H547" s="256">
        <f t="shared" si="136"/>
        <v>70680</v>
      </c>
    </row>
    <row r="548" spans="1:8" ht="24">
      <c r="A548" s="34">
        <v>533009</v>
      </c>
      <c r="B548" s="35" t="s">
        <v>1744</v>
      </c>
      <c r="C548" s="95">
        <v>0</v>
      </c>
      <c r="D548" s="250">
        <v>250</v>
      </c>
      <c r="E548" s="250">
        <v>0</v>
      </c>
      <c r="F548" s="253">
        <f t="shared" si="135"/>
        <v>250</v>
      </c>
      <c r="G548" s="251">
        <v>0</v>
      </c>
      <c r="H548" s="256">
        <f t="shared" si="136"/>
        <v>250</v>
      </c>
    </row>
    <row r="549" spans="1:8" ht="24">
      <c r="A549" s="32">
        <v>534400</v>
      </c>
      <c r="B549" s="33" t="s">
        <v>1745</v>
      </c>
      <c r="C549" s="91">
        <f>+C550</f>
        <v>0</v>
      </c>
      <c r="D549" s="251">
        <f>D550</f>
        <v>0</v>
      </c>
      <c r="E549" s="251">
        <f>E550</f>
        <v>0</v>
      </c>
      <c r="F549" s="251">
        <f>F550</f>
        <v>0</v>
      </c>
      <c r="G549" s="251">
        <f>G550</f>
        <v>0</v>
      </c>
      <c r="H549" s="256">
        <f>H550</f>
        <v>0</v>
      </c>
    </row>
    <row r="550" spans="1:8" s="15" customFormat="1" ht="12">
      <c r="A550" s="34">
        <v>534405</v>
      </c>
      <c r="B550" s="35" t="s">
        <v>866</v>
      </c>
      <c r="C550" s="95">
        <v>0</v>
      </c>
      <c r="D550" s="250">
        <v>0</v>
      </c>
      <c r="E550" s="250">
        <v>0</v>
      </c>
      <c r="F550" s="253">
        <f>+C550+D550-E550</f>
        <v>0</v>
      </c>
      <c r="G550" s="251">
        <v>0</v>
      </c>
      <c r="H550" s="256">
        <f>+F550</f>
        <v>0</v>
      </c>
    </row>
    <row r="551" spans="1:8" ht="12">
      <c r="A551" s="32">
        <v>534500</v>
      </c>
      <c r="B551" s="33" t="s">
        <v>1746</v>
      </c>
      <c r="C551" s="91">
        <f>+C552+C553</f>
        <v>326941</v>
      </c>
      <c r="D551" s="251">
        <f>SUM(D552:D553)</f>
        <v>88177</v>
      </c>
      <c r="E551" s="251">
        <f>SUM(E552:E553)</f>
        <v>20009</v>
      </c>
      <c r="F551" s="251">
        <f>SUM(F552:F553)</f>
        <v>395109</v>
      </c>
      <c r="G551" s="251">
        <f>SUM(G552:G553)</f>
        <v>0</v>
      </c>
      <c r="H551" s="256">
        <f>SUM(H552:H553)</f>
        <v>395109</v>
      </c>
    </row>
    <row r="552" spans="1:8" ht="12">
      <c r="A552" s="34">
        <v>534507</v>
      </c>
      <c r="B552" s="35" t="s">
        <v>881</v>
      </c>
      <c r="C552" s="95">
        <v>0</v>
      </c>
      <c r="D552" s="250">
        <v>0</v>
      </c>
      <c r="E552" s="250">
        <v>0</v>
      </c>
      <c r="F552" s="253">
        <f>+C552+D552-E552</f>
        <v>0</v>
      </c>
      <c r="G552" s="251">
        <v>0</v>
      </c>
      <c r="H552" s="256">
        <f>+F552</f>
        <v>0</v>
      </c>
    </row>
    <row r="553" spans="1:8" ht="12">
      <c r="A553" s="34">
        <v>534508</v>
      </c>
      <c r="B553" s="35" t="s">
        <v>882</v>
      </c>
      <c r="C553" s="95">
        <v>326941</v>
      </c>
      <c r="D553" s="250">
        <v>88177</v>
      </c>
      <c r="E553" s="250">
        <v>20009</v>
      </c>
      <c r="F553" s="253">
        <f>+C553+D553-E553</f>
        <v>395109</v>
      </c>
      <c r="G553" s="251">
        <v>0</v>
      </c>
      <c r="H553" s="256">
        <f>+F553</f>
        <v>395109</v>
      </c>
    </row>
    <row r="554" spans="1:8" ht="12">
      <c r="A554" s="32">
        <v>540000</v>
      </c>
      <c r="B554" s="33" t="s">
        <v>1747</v>
      </c>
      <c r="C554" s="91">
        <f>+C555+C561+C579+C585+C588+C593+C601</f>
        <v>8263978327</v>
      </c>
      <c r="D554" s="251">
        <f>D555+D561+D579+D585+D588+D593+D601</f>
        <v>4679317772</v>
      </c>
      <c r="E554" s="251">
        <f>E555+E561+E579+E585+E588+E593+E601</f>
        <v>884206083</v>
      </c>
      <c r="F554" s="251">
        <f>F555+F561+F579+F585+F588+F593+F601</f>
        <v>12059090016</v>
      </c>
      <c r="G554" s="251">
        <f>G555+G561+G579+G585+G588+G593+G601</f>
        <v>0</v>
      </c>
      <c r="H554" s="256">
        <f>H555+H561+H579+H585+H588+H593+H601</f>
        <v>12059090016</v>
      </c>
    </row>
    <row r="555" spans="1:8" ht="24">
      <c r="A555" s="32">
        <v>540100</v>
      </c>
      <c r="B555" s="33" t="s">
        <v>1748</v>
      </c>
      <c r="C555" s="91">
        <f>+SUM(C556:C560)</f>
        <v>1585668</v>
      </c>
      <c r="D555" s="251">
        <f>SUM(D556:D560)</f>
        <v>3878896</v>
      </c>
      <c r="E555" s="251">
        <f>SUM(E556:E560)</f>
        <v>4284666</v>
      </c>
      <c r="F555" s="251">
        <f>SUM(F556:F560)</f>
        <v>1179898</v>
      </c>
      <c r="G555" s="251">
        <f>SUM(G556:G560)</f>
        <v>0</v>
      </c>
      <c r="H555" s="256">
        <f>SUM(H556:H560)</f>
        <v>1179898</v>
      </c>
    </row>
    <row r="556" spans="1:8" ht="12">
      <c r="A556" s="34">
        <v>540102</v>
      </c>
      <c r="B556" s="35" t="s">
        <v>1749</v>
      </c>
      <c r="C556" s="95">
        <v>0</v>
      </c>
      <c r="D556" s="250">
        <v>0</v>
      </c>
      <c r="E556" s="250">
        <v>0</v>
      </c>
      <c r="F556" s="253">
        <f>+C556+D556-E556</f>
        <v>0</v>
      </c>
      <c r="G556" s="251">
        <v>0</v>
      </c>
      <c r="H556" s="256">
        <f>+F556</f>
        <v>0</v>
      </c>
    </row>
    <row r="557" spans="1:8" ht="24">
      <c r="A557" s="34">
        <v>540103</v>
      </c>
      <c r="B557" s="35" t="s">
        <v>1750</v>
      </c>
      <c r="C557" s="95">
        <v>405771</v>
      </c>
      <c r="D557" s="250">
        <v>395896</v>
      </c>
      <c r="E557" s="250">
        <v>801667</v>
      </c>
      <c r="F557" s="253">
        <f>+C557+D557-E557</f>
        <v>0</v>
      </c>
      <c r="G557" s="251">
        <v>0</v>
      </c>
      <c r="H557" s="256">
        <f>+F557</f>
        <v>0</v>
      </c>
    </row>
    <row r="558" spans="1:8" ht="24">
      <c r="A558" s="34">
        <v>540104</v>
      </c>
      <c r="B558" s="35" t="s">
        <v>1751</v>
      </c>
      <c r="C558" s="95">
        <v>1179897</v>
      </c>
      <c r="D558" s="250">
        <v>3483000</v>
      </c>
      <c r="E558" s="250">
        <v>3482999</v>
      </c>
      <c r="F558" s="253">
        <f>+C558+D558-E558</f>
        <v>1179898</v>
      </c>
      <c r="G558" s="251">
        <v>0</v>
      </c>
      <c r="H558" s="256">
        <f>+F558</f>
        <v>1179898</v>
      </c>
    </row>
    <row r="559" spans="1:8" ht="12">
      <c r="A559" s="34">
        <v>540105</v>
      </c>
      <c r="B559" s="35" t="s">
        <v>1752</v>
      </c>
      <c r="C559" s="95">
        <v>0</v>
      </c>
      <c r="D559" s="250">
        <v>0</v>
      </c>
      <c r="E559" s="250">
        <v>0</v>
      </c>
      <c r="F559" s="253">
        <f>+C559+D559-E559</f>
        <v>0</v>
      </c>
      <c r="G559" s="251">
        <v>0</v>
      </c>
      <c r="H559" s="256">
        <f>+F559</f>
        <v>0</v>
      </c>
    </row>
    <row r="560" spans="1:8" ht="12">
      <c r="A560" s="34">
        <v>540190</v>
      </c>
      <c r="B560" s="35" t="s">
        <v>1753</v>
      </c>
      <c r="C560" s="95">
        <v>0</v>
      </c>
      <c r="D560" s="250">
        <v>0</v>
      </c>
      <c r="E560" s="250">
        <v>0</v>
      </c>
      <c r="F560" s="253">
        <f>+C560+D560-E560</f>
        <v>0</v>
      </c>
      <c r="G560" s="251">
        <v>0</v>
      </c>
      <c r="H560" s="256">
        <f>+F560</f>
        <v>0</v>
      </c>
    </row>
    <row r="561" spans="1:8" ht="12">
      <c r="A561" s="32">
        <v>540300</v>
      </c>
      <c r="B561" s="33" t="s">
        <v>1754</v>
      </c>
      <c r="C561" s="91">
        <f>+SUM(C562:C578)</f>
        <v>1765953947</v>
      </c>
      <c r="D561" s="251">
        <f>SUM(D562:D578)</f>
        <v>1166685589</v>
      </c>
      <c r="E561" s="251">
        <f>SUM(E562:E578)</f>
        <v>85830659</v>
      </c>
      <c r="F561" s="251">
        <f>SUM(F562:F578)</f>
        <v>2846808877</v>
      </c>
      <c r="G561" s="251">
        <f>SUM(G562:G578)</f>
        <v>0</v>
      </c>
      <c r="H561" s="256">
        <f>SUM(H562:H578)</f>
        <v>2846808877</v>
      </c>
    </row>
    <row r="562" spans="1:8" ht="12">
      <c r="A562" s="34">
        <v>540301</v>
      </c>
      <c r="B562" s="35" t="s">
        <v>1755</v>
      </c>
      <c r="C562" s="95">
        <v>677959995</v>
      </c>
      <c r="D562" s="250">
        <v>560654263</v>
      </c>
      <c r="E562" s="250">
        <v>38273421</v>
      </c>
      <c r="F562" s="253">
        <f aca="true" t="shared" si="137" ref="F562:F578">+C562+D562-E562</f>
        <v>1200340837</v>
      </c>
      <c r="G562" s="251">
        <v>0</v>
      </c>
      <c r="H562" s="256">
        <f aca="true" t="shared" si="138" ref="H562:H578">+F562</f>
        <v>1200340837</v>
      </c>
    </row>
    <row r="563" spans="1:8" ht="12">
      <c r="A563" s="34">
        <v>540302</v>
      </c>
      <c r="B563" s="35" t="s">
        <v>1756</v>
      </c>
      <c r="C563" s="95">
        <v>0</v>
      </c>
      <c r="D563" s="250">
        <v>0</v>
      </c>
      <c r="E563" s="250">
        <v>0</v>
      </c>
      <c r="F563" s="253">
        <f t="shared" si="137"/>
        <v>0</v>
      </c>
      <c r="G563" s="251">
        <v>0</v>
      </c>
      <c r="H563" s="256">
        <f t="shared" si="138"/>
        <v>0</v>
      </c>
    </row>
    <row r="564" spans="1:8" ht="24">
      <c r="A564" s="34">
        <v>540303</v>
      </c>
      <c r="B564" s="35" t="s">
        <v>1757</v>
      </c>
      <c r="C564" s="95">
        <v>0</v>
      </c>
      <c r="D564" s="250">
        <v>0</v>
      </c>
      <c r="E564" s="250">
        <v>0</v>
      </c>
      <c r="F564" s="253">
        <f t="shared" si="137"/>
        <v>0</v>
      </c>
      <c r="G564" s="251">
        <v>0</v>
      </c>
      <c r="H564" s="256">
        <f t="shared" si="138"/>
        <v>0</v>
      </c>
    </row>
    <row r="565" spans="1:8" ht="24">
      <c r="A565" s="34">
        <v>540304</v>
      </c>
      <c r="B565" s="35" t="s">
        <v>1758</v>
      </c>
      <c r="C565" s="95">
        <v>646359935</v>
      </c>
      <c r="D565" s="250">
        <v>338773703</v>
      </c>
      <c r="E565" s="250">
        <v>6205322</v>
      </c>
      <c r="F565" s="253">
        <f t="shared" si="137"/>
        <v>978928316</v>
      </c>
      <c r="G565" s="251">
        <v>0</v>
      </c>
      <c r="H565" s="256">
        <f t="shared" si="138"/>
        <v>978928316</v>
      </c>
    </row>
    <row r="566" spans="1:8" ht="24">
      <c r="A566" s="34">
        <v>540305</v>
      </c>
      <c r="B566" s="35" t="s">
        <v>1759</v>
      </c>
      <c r="C566" s="95">
        <v>0</v>
      </c>
      <c r="D566" s="250">
        <v>1444832</v>
      </c>
      <c r="E566" s="250">
        <v>0</v>
      </c>
      <c r="F566" s="253">
        <f t="shared" si="137"/>
        <v>1444832</v>
      </c>
      <c r="G566" s="251">
        <v>0</v>
      </c>
      <c r="H566" s="256">
        <f t="shared" si="138"/>
        <v>1444832</v>
      </c>
    </row>
    <row r="567" spans="1:8" ht="24">
      <c r="A567" s="34">
        <v>540306</v>
      </c>
      <c r="B567" s="35" t="s">
        <v>1760</v>
      </c>
      <c r="C567" s="95">
        <v>0</v>
      </c>
      <c r="D567" s="250">
        <v>12000000</v>
      </c>
      <c r="E567" s="250">
        <v>12000000</v>
      </c>
      <c r="F567" s="253">
        <f t="shared" si="137"/>
        <v>0</v>
      </c>
      <c r="G567" s="251">
        <v>0</v>
      </c>
      <c r="H567" s="256">
        <f t="shared" si="138"/>
        <v>0</v>
      </c>
    </row>
    <row r="568" spans="1:8" s="15" customFormat="1" ht="12">
      <c r="A568" s="34">
        <v>540308</v>
      </c>
      <c r="B568" s="35" t="s">
        <v>1761</v>
      </c>
      <c r="C568" s="95">
        <v>0</v>
      </c>
      <c r="D568" s="250">
        <v>0</v>
      </c>
      <c r="E568" s="250">
        <v>0</v>
      </c>
      <c r="F568" s="253">
        <f t="shared" si="137"/>
        <v>0</v>
      </c>
      <c r="G568" s="251">
        <v>0</v>
      </c>
      <c r="H568" s="256">
        <f t="shared" si="138"/>
        <v>0</v>
      </c>
    </row>
    <row r="569" spans="1:8" ht="24">
      <c r="A569" s="34">
        <v>540309</v>
      </c>
      <c r="B569" s="35" t="s">
        <v>1762</v>
      </c>
      <c r="C569" s="95">
        <v>0</v>
      </c>
      <c r="D569" s="250">
        <v>0</v>
      </c>
      <c r="E569" s="250">
        <v>0</v>
      </c>
      <c r="F569" s="253">
        <f t="shared" si="137"/>
        <v>0</v>
      </c>
      <c r="G569" s="251">
        <v>0</v>
      </c>
      <c r="H569" s="256">
        <f t="shared" si="138"/>
        <v>0</v>
      </c>
    </row>
    <row r="570" spans="1:8" ht="24">
      <c r="A570" s="34">
        <v>540311</v>
      </c>
      <c r="B570" s="35" t="s">
        <v>1763</v>
      </c>
      <c r="C570" s="95">
        <v>433916107</v>
      </c>
      <c r="D570" s="250">
        <v>240990927</v>
      </c>
      <c r="E570" s="250">
        <v>22717266</v>
      </c>
      <c r="F570" s="253">
        <f t="shared" si="137"/>
        <v>652189768</v>
      </c>
      <c r="G570" s="251">
        <v>0</v>
      </c>
      <c r="H570" s="256">
        <f t="shared" si="138"/>
        <v>652189768</v>
      </c>
    </row>
    <row r="571" spans="1:8" ht="24">
      <c r="A571" s="34">
        <v>540312</v>
      </c>
      <c r="B571" s="35" t="s">
        <v>1764</v>
      </c>
      <c r="C571" s="95">
        <v>0</v>
      </c>
      <c r="D571" s="250">
        <v>0</v>
      </c>
      <c r="E571" s="250">
        <v>0</v>
      </c>
      <c r="F571" s="253">
        <f t="shared" si="137"/>
        <v>0</v>
      </c>
      <c r="G571" s="251">
        <v>0</v>
      </c>
      <c r="H571" s="256">
        <f t="shared" si="138"/>
        <v>0</v>
      </c>
    </row>
    <row r="572" spans="1:8" ht="24">
      <c r="A572" s="34">
        <v>540313</v>
      </c>
      <c r="B572" s="35" t="s">
        <v>1765</v>
      </c>
      <c r="C572" s="95">
        <v>0</v>
      </c>
      <c r="D572" s="250">
        <v>6634650</v>
      </c>
      <c r="E572" s="250">
        <v>6634650</v>
      </c>
      <c r="F572" s="253">
        <f t="shared" si="137"/>
        <v>0</v>
      </c>
      <c r="G572" s="251">
        <v>0</v>
      </c>
      <c r="H572" s="256">
        <f t="shared" si="138"/>
        <v>0</v>
      </c>
    </row>
    <row r="573" spans="1:8" ht="12">
      <c r="A573" s="34">
        <v>540315</v>
      </c>
      <c r="B573" s="35" t="s">
        <v>1766</v>
      </c>
      <c r="C573" s="95">
        <v>0</v>
      </c>
      <c r="D573" s="250">
        <v>0</v>
      </c>
      <c r="E573" s="250">
        <v>0</v>
      </c>
      <c r="F573" s="253">
        <f t="shared" si="137"/>
        <v>0</v>
      </c>
      <c r="G573" s="251">
        <v>0</v>
      </c>
      <c r="H573" s="256">
        <f t="shared" si="138"/>
        <v>0</v>
      </c>
    </row>
    <row r="574" spans="1:8" s="15" customFormat="1" ht="24">
      <c r="A574" s="34">
        <v>540318</v>
      </c>
      <c r="B574" s="35" t="s">
        <v>1767</v>
      </c>
      <c r="C574" s="95">
        <v>6357594</v>
      </c>
      <c r="D574" s="250">
        <v>4114712</v>
      </c>
      <c r="E574" s="250">
        <v>0</v>
      </c>
      <c r="F574" s="253">
        <f t="shared" si="137"/>
        <v>10472306</v>
      </c>
      <c r="G574" s="251">
        <v>0</v>
      </c>
      <c r="H574" s="256">
        <f t="shared" si="138"/>
        <v>10472306</v>
      </c>
    </row>
    <row r="575" spans="1:8" ht="12">
      <c r="A575" s="34">
        <v>540322</v>
      </c>
      <c r="B575" s="35" t="s">
        <v>1768</v>
      </c>
      <c r="C575" s="95">
        <v>0</v>
      </c>
      <c r="D575" s="250">
        <v>0</v>
      </c>
      <c r="E575" s="250">
        <v>0</v>
      </c>
      <c r="F575" s="253">
        <f t="shared" si="137"/>
        <v>0</v>
      </c>
      <c r="G575" s="251">
        <v>0</v>
      </c>
      <c r="H575" s="256">
        <f t="shared" si="138"/>
        <v>0</v>
      </c>
    </row>
    <row r="576" spans="1:8" ht="24">
      <c r="A576" s="34">
        <v>540325</v>
      </c>
      <c r="B576" s="35" t="s">
        <v>1769</v>
      </c>
      <c r="C576" s="95">
        <v>0</v>
      </c>
      <c r="D576" s="250">
        <v>0</v>
      </c>
      <c r="E576" s="250">
        <v>0</v>
      </c>
      <c r="F576" s="253">
        <f t="shared" si="137"/>
        <v>0</v>
      </c>
      <c r="G576" s="251">
        <v>0</v>
      </c>
      <c r="H576" s="256">
        <f t="shared" si="138"/>
        <v>0</v>
      </c>
    </row>
    <row r="577" spans="1:8" s="15" customFormat="1" ht="24">
      <c r="A577" s="34">
        <v>540329</v>
      </c>
      <c r="B577" s="35" t="s">
        <v>1770</v>
      </c>
      <c r="C577" s="95">
        <v>1360316</v>
      </c>
      <c r="D577" s="250">
        <v>2072502</v>
      </c>
      <c r="E577" s="250">
        <v>0</v>
      </c>
      <c r="F577" s="253">
        <f t="shared" si="137"/>
        <v>3432818</v>
      </c>
      <c r="G577" s="251">
        <v>0</v>
      </c>
      <c r="H577" s="256">
        <f t="shared" si="138"/>
        <v>3432818</v>
      </c>
    </row>
    <row r="578" spans="1:8" ht="24">
      <c r="A578" s="34">
        <v>540390</v>
      </c>
      <c r="B578" s="35" t="s">
        <v>1771</v>
      </c>
      <c r="C578" s="95">
        <v>0</v>
      </c>
      <c r="D578" s="250">
        <v>0</v>
      </c>
      <c r="E578" s="250">
        <v>0</v>
      </c>
      <c r="F578" s="253">
        <f t="shared" si="137"/>
        <v>0</v>
      </c>
      <c r="G578" s="251">
        <v>0</v>
      </c>
      <c r="H578" s="256">
        <f t="shared" si="138"/>
        <v>0</v>
      </c>
    </row>
    <row r="579" spans="1:8" ht="12">
      <c r="A579" s="32">
        <v>540400</v>
      </c>
      <c r="B579" s="33" t="s">
        <v>1772</v>
      </c>
      <c r="C579" s="91">
        <f>+SUM(C580:C584)</f>
        <v>3488518</v>
      </c>
      <c r="D579" s="251">
        <f>SUM(D580:D584)</f>
        <v>0</v>
      </c>
      <c r="E579" s="251">
        <f>SUM(E580:E584)</f>
        <v>3488518</v>
      </c>
      <c r="F579" s="251">
        <f>SUM(F580:F584)</f>
        <v>0</v>
      </c>
      <c r="G579" s="251">
        <f>SUM(G580:G584)</f>
        <v>0</v>
      </c>
      <c r="H579" s="256">
        <f>SUM(H580:H584)</f>
        <v>0</v>
      </c>
    </row>
    <row r="580" spans="1:8" ht="12">
      <c r="A580" s="34">
        <v>540401</v>
      </c>
      <c r="B580" s="35" t="s">
        <v>1773</v>
      </c>
      <c r="C580" s="95">
        <v>3488518</v>
      </c>
      <c r="D580" s="250">
        <v>0</v>
      </c>
      <c r="E580" s="250">
        <v>3488518</v>
      </c>
      <c r="F580" s="253">
        <f>+C580+D580-E580</f>
        <v>0</v>
      </c>
      <c r="G580" s="251">
        <v>0</v>
      </c>
      <c r="H580" s="256">
        <f>+F580</f>
        <v>0</v>
      </c>
    </row>
    <row r="581" spans="1:8" ht="12">
      <c r="A581" s="34">
        <v>540402</v>
      </c>
      <c r="B581" s="35" t="s">
        <v>1774</v>
      </c>
      <c r="C581" s="95">
        <v>0</v>
      </c>
      <c r="D581" s="250">
        <v>0</v>
      </c>
      <c r="E581" s="250">
        <v>0</v>
      </c>
      <c r="F581" s="253">
        <f>+C581+D581-E581</f>
        <v>0</v>
      </c>
      <c r="G581" s="251">
        <v>0</v>
      </c>
      <c r="H581" s="256">
        <f>+F581</f>
        <v>0</v>
      </c>
    </row>
    <row r="582" spans="1:8" s="15" customFormat="1" ht="12">
      <c r="A582" s="34">
        <v>540403</v>
      </c>
      <c r="B582" s="35" t="s">
        <v>1775</v>
      </c>
      <c r="C582" s="95">
        <v>0</v>
      </c>
      <c r="D582" s="250">
        <v>0</v>
      </c>
      <c r="E582" s="250">
        <v>0</v>
      </c>
      <c r="F582" s="253">
        <f>+C582+D582-E582</f>
        <v>0</v>
      </c>
      <c r="G582" s="251">
        <v>0</v>
      </c>
      <c r="H582" s="256">
        <f>+F582</f>
        <v>0</v>
      </c>
    </row>
    <row r="583" spans="1:8" ht="12">
      <c r="A583" s="34">
        <v>540404</v>
      </c>
      <c r="B583" s="35" t="s">
        <v>1776</v>
      </c>
      <c r="C583" s="95">
        <v>0</v>
      </c>
      <c r="D583" s="250">
        <v>0</v>
      </c>
      <c r="E583" s="250">
        <v>0</v>
      </c>
      <c r="F583" s="253">
        <f>+C583+D583-E583</f>
        <v>0</v>
      </c>
      <c r="G583" s="251">
        <v>0</v>
      </c>
      <c r="H583" s="256">
        <f>+F583</f>
        <v>0</v>
      </c>
    </row>
    <row r="584" spans="1:8" ht="24">
      <c r="A584" s="34">
        <v>540490</v>
      </c>
      <c r="B584" s="35" t="s">
        <v>1777</v>
      </c>
      <c r="C584" s="95">
        <v>0</v>
      </c>
      <c r="D584" s="250">
        <v>0</v>
      </c>
      <c r="E584" s="250">
        <v>0</v>
      </c>
      <c r="F584" s="253">
        <f>+C584+D584-E584</f>
        <v>0</v>
      </c>
      <c r="G584" s="251">
        <v>0</v>
      </c>
      <c r="H584" s="256">
        <f>+F584</f>
        <v>0</v>
      </c>
    </row>
    <row r="585" spans="1:8" ht="12">
      <c r="A585" s="32">
        <v>540700</v>
      </c>
      <c r="B585" s="33" t="s">
        <v>1778</v>
      </c>
      <c r="C585" s="91">
        <f>+C586+C587</f>
        <v>0</v>
      </c>
      <c r="D585" s="251">
        <f>SUM(D586:D587)</f>
        <v>0</v>
      </c>
      <c r="E585" s="251">
        <f>SUM(E586:E587)</f>
        <v>0</v>
      </c>
      <c r="F585" s="251">
        <f>SUM(F586:F587)</f>
        <v>0</v>
      </c>
      <c r="G585" s="251">
        <f>SUM(G586:G587)</f>
        <v>0</v>
      </c>
      <c r="H585" s="256">
        <f>SUM(H586:H587)</f>
        <v>0</v>
      </c>
    </row>
    <row r="586" spans="1:8" ht="12">
      <c r="A586" s="34">
        <v>540705</v>
      </c>
      <c r="B586" s="35" t="s">
        <v>1779</v>
      </c>
      <c r="C586" s="95">
        <v>0</v>
      </c>
      <c r="D586" s="250">
        <v>0</v>
      </c>
      <c r="E586" s="250">
        <v>0</v>
      </c>
      <c r="F586" s="253">
        <f>+C586+D586-E586</f>
        <v>0</v>
      </c>
      <c r="G586" s="251">
        <v>0</v>
      </c>
      <c r="H586" s="256">
        <f>+F586</f>
        <v>0</v>
      </c>
    </row>
    <row r="587" spans="1:8" ht="12">
      <c r="A587" s="34">
        <v>540706</v>
      </c>
      <c r="B587" s="35" t="s">
        <v>1780</v>
      </c>
      <c r="C587" s="95">
        <v>0</v>
      </c>
      <c r="D587" s="250">
        <v>0</v>
      </c>
      <c r="E587" s="250">
        <v>0</v>
      </c>
      <c r="F587" s="253">
        <f>+C587+D587-E587</f>
        <v>0</v>
      </c>
      <c r="G587" s="251">
        <v>0</v>
      </c>
      <c r="H587" s="256">
        <f>+F587</f>
        <v>0</v>
      </c>
    </row>
    <row r="588" spans="1:8" ht="12">
      <c r="A588" s="32">
        <v>540800</v>
      </c>
      <c r="B588" s="33" t="s">
        <v>1781</v>
      </c>
      <c r="C588" s="91">
        <f>+SUM(C589:C592)</f>
        <v>6492950194</v>
      </c>
      <c r="D588" s="251">
        <f>SUM(D589:D592)</f>
        <v>3508753287</v>
      </c>
      <c r="E588" s="251">
        <f>SUM(E589:E592)</f>
        <v>790602240</v>
      </c>
      <c r="F588" s="251">
        <f>SUM(F589:F592)</f>
        <v>9211101241</v>
      </c>
      <c r="G588" s="251">
        <f>SUM(G589:G592)</f>
        <v>0</v>
      </c>
      <c r="H588" s="256">
        <f>SUM(H589:H592)</f>
        <v>9211101241</v>
      </c>
    </row>
    <row r="589" spans="1:8" ht="12">
      <c r="A589" s="34">
        <v>540802</v>
      </c>
      <c r="B589" s="35" t="s">
        <v>1782</v>
      </c>
      <c r="C589" s="95">
        <v>3464858253</v>
      </c>
      <c r="D589" s="250">
        <v>1947336432</v>
      </c>
      <c r="E589" s="250">
        <v>443182460</v>
      </c>
      <c r="F589" s="253">
        <f>+C589+D589-E589</f>
        <v>4969012225</v>
      </c>
      <c r="G589" s="251">
        <v>0</v>
      </c>
      <c r="H589" s="256">
        <f>+F589</f>
        <v>4969012225</v>
      </c>
    </row>
    <row r="590" spans="1:8" s="15" customFormat="1" ht="12">
      <c r="A590" s="34">
        <v>540806</v>
      </c>
      <c r="B590" s="35" t="s">
        <v>1783</v>
      </c>
      <c r="C590" s="95">
        <v>2067511463</v>
      </c>
      <c r="D590" s="250">
        <v>1062281376</v>
      </c>
      <c r="E590" s="250">
        <v>235815096</v>
      </c>
      <c r="F590" s="253">
        <f>+C590+D590-E590</f>
        <v>2893977743</v>
      </c>
      <c r="G590" s="251">
        <v>0</v>
      </c>
      <c r="H590" s="256">
        <f>+F590</f>
        <v>2893977743</v>
      </c>
    </row>
    <row r="591" spans="1:8" ht="12">
      <c r="A591" s="34">
        <v>540812</v>
      </c>
      <c r="B591" s="35" t="s">
        <v>1784</v>
      </c>
      <c r="C591" s="95">
        <v>960580478</v>
      </c>
      <c r="D591" s="250">
        <v>499135479</v>
      </c>
      <c r="E591" s="250">
        <v>111604684</v>
      </c>
      <c r="F591" s="253">
        <f>+C591+D591-E591</f>
        <v>1348111273</v>
      </c>
      <c r="G591" s="251">
        <v>0</v>
      </c>
      <c r="H591" s="256">
        <f>+F591</f>
        <v>1348111273</v>
      </c>
    </row>
    <row r="592" spans="1:8" s="15" customFormat="1" ht="12">
      <c r="A592" s="34">
        <v>540816</v>
      </c>
      <c r="B592" s="35" t="s">
        <v>1785</v>
      </c>
      <c r="C592" s="95">
        <v>0</v>
      </c>
      <c r="D592" s="250">
        <v>0</v>
      </c>
      <c r="E592" s="250">
        <v>0</v>
      </c>
      <c r="F592" s="253">
        <f>+C592+D592-E592</f>
        <v>0</v>
      </c>
      <c r="G592" s="251">
        <v>0</v>
      </c>
      <c r="H592" s="256">
        <f>+F592</f>
        <v>0</v>
      </c>
    </row>
    <row r="593" spans="1:8" s="15" customFormat="1" ht="12">
      <c r="A593" s="32">
        <v>541100</v>
      </c>
      <c r="B593" s="33" t="s">
        <v>1786</v>
      </c>
      <c r="C593" s="91">
        <f>+SUM(C594:C600)</f>
        <v>0</v>
      </c>
      <c r="D593" s="251">
        <f>SUM(D594:D600)</f>
        <v>0</v>
      </c>
      <c r="E593" s="251">
        <f>SUM(E594:E600)</f>
        <v>0</v>
      </c>
      <c r="F593" s="251">
        <f>SUM(F594:F600)</f>
        <v>0</v>
      </c>
      <c r="G593" s="251">
        <f>SUM(G594:G600)</f>
        <v>0</v>
      </c>
      <c r="H593" s="256">
        <f>SUM(H594:H600)</f>
        <v>0</v>
      </c>
    </row>
    <row r="594" spans="1:8" ht="12">
      <c r="A594" s="34">
        <v>541101</v>
      </c>
      <c r="B594" s="35" t="s">
        <v>1755</v>
      </c>
      <c r="C594" s="95">
        <v>0</v>
      </c>
      <c r="D594" s="250">
        <v>0</v>
      </c>
      <c r="E594" s="250">
        <v>0</v>
      </c>
      <c r="F594" s="253">
        <f aca="true" t="shared" si="139" ref="F594:F600">+C594+D594-E594</f>
        <v>0</v>
      </c>
      <c r="G594" s="251">
        <v>0</v>
      </c>
      <c r="H594" s="256">
        <f aca="true" t="shared" si="140" ref="H594:H600">+F594</f>
        <v>0</v>
      </c>
    </row>
    <row r="595" spans="1:8" s="15" customFormat="1" ht="24">
      <c r="A595" s="34">
        <v>541104</v>
      </c>
      <c r="B595" s="35" t="s">
        <v>1787</v>
      </c>
      <c r="C595" s="95">
        <v>0</v>
      </c>
      <c r="D595" s="250">
        <v>0</v>
      </c>
      <c r="E595" s="250">
        <v>0</v>
      </c>
      <c r="F595" s="253">
        <f t="shared" si="139"/>
        <v>0</v>
      </c>
      <c r="G595" s="251">
        <v>0</v>
      </c>
      <c r="H595" s="256">
        <f t="shared" si="140"/>
        <v>0</v>
      </c>
    </row>
    <row r="596" spans="1:8" ht="12">
      <c r="A596" s="34">
        <v>541106</v>
      </c>
      <c r="B596" s="35" t="s">
        <v>1788</v>
      </c>
      <c r="C596" s="95">
        <v>0</v>
      </c>
      <c r="D596" s="250">
        <v>0</v>
      </c>
      <c r="E596" s="250">
        <v>0</v>
      </c>
      <c r="F596" s="253">
        <f t="shared" si="139"/>
        <v>0</v>
      </c>
      <c r="G596" s="251">
        <v>0</v>
      </c>
      <c r="H596" s="256">
        <f t="shared" si="140"/>
        <v>0</v>
      </c>
    </row>
    <row r="597" spans="1:8" s="15" customFormat="1" ht="12">
      <c r="A597" s="34">
        <v>541108</v>
      </c>
      <c r="B597" s="35" t="s">
        <v>1761</v>
      </c>
      <c r="C597" s="95">
        <v>0</v>
      </c>
      <c r="D597" s="250">
        <v>0</v>
      </c>
      <c r="E597" s="250">
        <v>0</v>
      </c>
      <c r="F597" s="253">
        <f t="shared" si="139"/>
        <v>0</v>
      </c>
      <c r="G597" s="251">
        <v>0</v>
      </c>
      <c r="H597" s="256">
        <f t="shared" si="140"/>
        <v>0</v>
      </c>
    </row>
    <row r="598" spans="1:8" s="15" customFormat="1" ht="24">
      <c r="A598" s="34">
        <v>541111</v>
      </c>
      <c r="B598" s="35" t="s">
        <v>1763</v>
      </c>
      <c r="C598" s="95">
        <v>0</v>
      </c>
      <c r="D598" s="250">
        <v>0</v>
      </c>
      <c r="E598" s="250">
        <v>0</v>
      </c>
      <c r="F598" s="253">
        <f t="shared" si="139"/>
        <v>0</v>
      </c>
      <c r="G598" s="251">
        <v>0</v>
      </c>
      <c r="H598" s="256">
        <f t="shared" si="140"/>
        <v>0</v>
      </c>
    </row>
    <row r="599" spans="1:8" ht="12">
      <c r="A599" s="34">
        <v>541115</v>
      </c>
      <c r="B599" s="35" t="s">
        <v>1766</v>
      </c>
      <c r="C599" s="95">
        <v>0</v>
      </c>
      <c r="D599" s="250">
        <v>0</v>
      </c>
      <c r="E599" s="250">
        <v>0</v>
      </c>
      <c r="F599" s="253">
        <f t="shared" si="139"/>
        <v>0</v>
      </c>
      <c r="G599" s="251">
        <v>0</v>
      </c>
      <c r="H599" s="256">
        <f t="shared" si="140"/>
        <v>0</v>
      </c>
    </row>
    <row r="600" spans="1:8" ht="12">
      <c r="A600" s="34">
        <v>541122</v>
      </c>
      <c r="B600" s="35" t="s">
        <v>1789</v>
      </c>
      <c r="C600" s="95">
        <v>0</v>
      </c>
      <c r="D600" s="250">
        <v>0</v>
      </c>
      <c r="E600" s="250">
        <v>0</v>
      </c>
      <c r="F600" s="253">
        <f t="shared" si="139"/>
        <v>0</v>
      </c>
      <c r="G600" s="251">
        <v>0</v>
      </c>
      <c r="H600" s="256">
        <f t="shared" si="140"/>
        <v>0</v>
      </c>
    </row>
    <row r="601" spans="1:8" s="15" customFormat="1" ht="24">
      <c r="A601" s="32">
        <v>541700</v>
      </c>
      <c r="B601" s="33" t="s">
        <v>1790</v>
      </c>
      <c r="C601" s="91">
        <f>+C602</f>
        <v>0</v>
      </c>
      <c r="D601" s="251">
        <f>D602</f>
        <v>0</v>
      </c>
      <c r="E601" s="251">
        <f>E602</f>
        <v>0</v>
      </c>
      <c r="F601" s="251">
        <f>F602</f>
        <v>0</v>
      </c>
      <c r="G601" s="251">
        <f>G602</f>
        <v>0</v>
      </c>
      <c r="H601" s="256">
        <f>H602</f>
        <v>0</v>
      </c>
    </row>
    <row r="602" spans="1:8" ht="12">
      <c r="A602" s="34">
        <v>541702</v>
      </c>
      <c r="B602" s="35" t="s">
        <v>1791</v>
      </c>
      <c r="C602" s="95">
        <v>0</v>
      </c>
      <c r="D602" s="250">
        <v>0</v>
      </c>
      <c r="E602" s="250">
        <v>0</v>
      </c>
      <c r="F602" s="253">
        <f>+C602+D602-E602</f>
        <v>0</v>
      </c>
      <c r="G602" s="251">
        <v>0</v>
      </c>
      <c r="H602" s="256">
        <f>+F602</f>
        <v>0</v>
      </c>
    </row>
    <row r="603" spans="1:8" ht="12">
      <c r="A603" s="32">
        <v>550000</v>
      </c>
      <c r="B603" s="33" t="s">
        <v>1792</v>
      </c>
      <c r="C603" s="91">
        <f>+C604+C606</f>
        <v>0</v>
      </c>
      <c r="D603" s="251">
        <f>D604+D606</f>
        <v>0</v>
      </c>
      <c r="E603" s="251">
        <f>E604+E606</f>
        <v>0</v>
      </c>
      <c r="F603" s="251">
        <f>F604+F606</f>
        <v>0</v>
      </c>
      <c r="G603" s="251">
        <f>G604+G606</f>
        <v>0</v>
      </c>
      <c r="H603" s="256">
        <f>H604+H606</f>
        <v>0</v>
      </c>
    </row>
    <row r="604" spans="1:8" s="15" customFormat="1" ht="12">
      <c r="A604" s="32">
        <v>550100</v>
      </c>
      <c r="B604" s="33" t="s">
        <v>1793</v>
      </c>
      <c r="C604" s="91">
        <f>+C605</f>
        <v>0</v>
      </c>
      <c r="D604" s="251">
        <f>D605</f>
        <v>0</v>
      </c>
      <c r="E604" s="251">
        <f>E605</f>
        <v>0</v>
      </c>
      <c r="F604" s="251">
        <f>F605</f>
        <v>0</v>
      </c>
      <c r="G604" s="251">
        <f>G605</f>
        <v>0</v>
      </c>
      <c r="H604" s="256">
        <f>H605</f>
        <v>0</v>
      </c>
    </row>
    <row r="605" spans="1:8" ht="12">
      <c r="A605" s="34">
        <v>550106</v>
      </c>
      <c r="B605" s="35" t="s">
        <v>1794</v>
      </c>
      <c r="C605" s="95">
        <v>0</v>
      </c>
      <c r="D605" s="250">
        <v>0</v>
      </c>
      <c r="E605" s="250">
        <v>0</v>
      </c>
      <c r="F605" s="253">
        <f>+C605+D605-E605</f>
        <v>0</v>
      </c>
      <c r="G605" s="251">
        <v>0</v>
      </c>
      <c r="H605" s="256">
        <f>+F605</f>
        <v>0</v>
      </c>
    </row>
    <row r="606" spans="1:8" ht="12">
      <c r="A606" s="32">
        <v>555000</v>
      </c>
      <c r="B606" s="33" t="s">
        <v>943</v>
      </c>
      <c r="C606" s="91">
        <f>+C607</f>
        <v>0</v>
      </c>
      <c r="D606" s="251">
        <f>D607</f>
        <v>0</v>
      </c>
      <c r="E606" s="251">
        <f>E607</f>
        <v>0</v>
      </c>
      <c r="F606" s="251">
        <f>F607</f>
        <v>0</v>
      </c>
      <c r="G606" s="251">
        <f>G607</f>
        <v>0</v>
      </c>
      <c r="H606" s="256">
        <f>H607</f>
        <v>0</v>
      </c>
    </row>
    <row r="607" spans="1:8" s="15" customFormat="1" ht="12">
      <c r="A607" s="34">
        <v>555002</v>
      </c>
      <c r="B607" s="23" t="s">
        <v>1795</v>
      </c>
      <c r="C607" s="95">
        <v>0</v>
      </c>
      <c r="D607" s="250">
        <v>0</v>
      </c>
      <c r="E607" s="250">
        <v>0</v>
      </c>
      <c r="F607" s="253">
        <f>+C610+D607-E607</f>
        <v>0</v>
      </c>
      <c r="G607" s="251">
        <v>0</v>
      </c>
      <c r="H607" s="256">
        <f>+F607</f>
        <v>0</v>
      </c>
    </row>
    <row r="608" spans="1:8" s="15" customFormat="1" ht="12">
      <c r="A608" s="32">
        <v>560000</v>
      </c>
      <c r="B608" s="33" t="s">
        <v>1796</v>
      </c>
      <c r="C608" s="91">
        <f>+C609+C612+C619+C622+C624</f>
        <v>80927906</v>
      </c>
      <c r="D608" s="251">
        <f>D609+D612+D619+D622+D624</f>
        <v>185711262</v>
      </c>
      <c r="E608" s="251">
        <f>E609+E612+E619+E622+E624</f>
        <v>4027824</v>
      </c>
      <c r="F608" s="251">
        <f>F609+F612+F619+F622+F624</f>
        <v>262611344</v>
      </c>
      <c r="G608" s="251">
        <f>G609+G612+G619+G622+G624</f>
        <v>0</v>
      </c>
      <c r="H608" s="256">
        <f>H609+H612+H619+H622+H624</f>
        <v>262611344</v>
      </c>
    </row>
    <row r="609" spans="1:8" ht="12">
      <c r="A609" s="32">
        <v>560100</v>
      </c>
      <c r="B609" s="33" t="s">
        <v>1797</v>
      </c>
      <c r="C609" s="91">
        <f>+C610+C611</f>
        <v>5777</v>
      </c>
      <c r="D609" s="251">
        <f>SUM(D610:D611)</f>
        <v>30809</v>
      </c>
      <c r="E609" s="251">
        <f>SUM(E610:E611)</f>
        <v>36586</v>
      </c>
      <c r="F609" s="251">
        <f>SUM(F610:F611)</f>
        <v>0</v>
      </c>
      <c r="G609" s="251">
        <f>SUM(G610:G611)</f>
        <v>0</v>
      </c>
      <c r="H609" s="256">
        <f>SUM(H610:H611)</f>
        <v>0</v>
      </c>
    </row>
    <row r="610" spans="1:8" ht="12">
      <c r="A610" s="34">
        <v>560101</v>
      </c>
      <c r="B610" s="35" t="s">
        <v>1798</v>
      </c>
      <c r="C610" s="95">
        <v>0</v>
      </c>
      <c r="D610" s="250">
        <v>0</v>
      </c>
      <c r="E610" s="250">
        <v>0</v>
      </c>
      <c r="F610" s="253">
        <f>+C610+D610-E610</f>
        <v>0</v>
      </c>
      <c r="G610" s="251">
        <v>0</v>
      </c>
      <c r="H610" s="256">
        <f>+F610</f>
        <v>0</v>
      </c>
    </row>
    <row r="611" spans="1:8" ht="12">
      <c r="A611" s="34">
        <v>560105</v>
      </c>
      <c r="B611" s="35" t="s">
        <v>1799</v>
      </c>
      <c r="C611" s="95">
        <v>5777</v>
      </c>
      <c r="D611" s="250">
        <f>30808+1</f>
        <v>30809</v>
      </c>
      <c r="E611" s="250">
        <v>36586</v>
      </c>
      <c r="F611" s="253">
        <f>+C611+D611-E611</f>
        <v>0</v>
      </c>
      <c r="G611" s="251">
        <v>0</v>
      </c>
      <c r="H611" s="256">
        <f>+F611</f>
        <v>0</v>
      </c>
    </row>
    <row r="612" spans="1:8" ht="24">
      <c r="A612" s="32">
        <v>560200</v>
      </c>
      <c r="B612" s="33" t="s">
        <v>1800</v>
      </c>
      <c r="C612" s="91">
        <f>+SUM(C613:C618)</f>
        <v>80922129</v>
      </c>
      <c r="D612" s="251">
        <f>SUM(D613:D618)</f>
        <v>185599625</v>
      </c>
      <c r="E612" s="251">
        <f>SUM(E613:E618)</f>
        <v>3910410</v>
      </c>
      <c r="F612" s="251">
        <f>SUM(F613:F618)</f>
        <v>262611344</v>
      </c>
      <c r="G612" s="251">
        <f>SUM(G613:G618)</f>
        <v>0</v>
      </c>
      <c r="H612" s="256">
        <f>SUM(H613:H618)</f>
        <v>262611344</v>
      </c>
    </row>
    <row r="613" spans="1:8" ht="12">
      <c r="A613" s="34">
        <v>560201</v>
      </c>
      <c r="B613" s="35" t="s">
        <v>1798</v>
      </c>
      <c r="C613" s="95">
        <v>0</v>
      </c>
      <c r="D613" s="250">
        <v>566263</v>
      </c>
      <c r="E613" s="250">
        <v>0</v>
      </c>
      <c r="F613" s="253">
        <f aca="true" t="shared" si="141" ref="F613:F618">+C613+D613-E613</f>
        <v>566263</v>
      </c>
      <c r="G613" s="251">
        <v>0</v>
      </c>
      <c r="H613" s="256">
        <f aca="true" t="shared" si="142" ref="H613:H618">+F613</f>
        <v>566263</v>
      </c>
    </row>
    <row r="614" spans="1:8" ht="12">
      <c r="A614" s="34">
        <v>560202</v>
      </c>
      <c r="B614" s="35" t="s">
        <v>1801</v>
      </c>
      <c r="C614" s="95">
        <v>0</v>
      </c>
      <c r="D614" s="250">
        <v>79294</v>
      </c>
      <c r="E614" s="250">
        <v>0</v>
      </c>
      <c r="F614" s="253">
        <f t="shared" si="141"/>
        <v>79294</v>
      </c>
      <c r="G614" s="251">
        <v>0</v>
      </c>
      <c r="H614" s="256">
        <f t="shared" si="142"/>
        <v>79294</v>
      </c>
    </row>
    <row r="615" spans="1:8" s="15" customFormat="1" ht="12">
      <c r="A615" s="34">
        <v>560203</v>
      </c>
      <c r="B615" s="35" t="s">
        <v>1802</v>
      </c>
      <c r="C615" s="95">
        <v>0</v>
      </c>
      <c r="D615" s="250">
        <v>104868</v>
      </c>
      <c r="E615" s="250">
        <v>0</v>
      </c>
      <c r="F615" s="253">
        <f t="shared" si="141"/>
        <v>104868</v>
      </c>
      <c r="G615" s="251">
        <v>0</v>
      </c>
      <c r="H615" s="256">
        <f t="shared" si="142"/>
        <v>104868</v>
      </c>
    </row>
    <row r="616" spans="1:8" ht="12">
      <c r="A616" s="34">
        <v>560204</v>
      </c>
      <c r="B616" s="35" t="s">
        <v>1803</v>
      </c>
      <c r="C616" s="95">
        <v>0</v>
      </c>
      <c r="D616" s="250">
        <v>45605</v>
      </c>
      <c r="E616" s="250">
        <v>0</v>
      </c>
      <c r="F616" s="253">
        <f t="shared" si="141"/>
        <v>45605</v>
      </c>
      <c r="G616" s="251">
        <v>0</v>
      </c>
      <c r="H616" s="256">
        <f t="shared" si="142"/>
        <v>45605</v>
      </c>
    </row>
    <row r="617" spans="1:8" s="15" customFormat="1" ht="12">
      <c r="A617" s="34">
        <v>560205</v>
      </c>
      <c r="B617" s="35" t="s">
        <v>1799</v>
      </c>
      <c r="C617" s="95">
        <v>80922129</v>
      </c>
      <c r="D617" s="250">
        <v>183913289</v>
      </c>
      <c r="E617" s="250">
        <v>3910410</v>
      </c>
      <c r="F617" s="253">
        <f t="shared" si="141"/>
        <v>260925008</v>
      </c>
      <c r="G617" s="251">
        <v>0</v>
      </c>
      <c r="H617" s="256">
        <f t="shared" si="142"/>
        <v>260925008</v>
      </c>
    </row>
    <row r="618" spans="1:8" ht="12">
      <c r="A618" s="34">
        <v>560206</v>
      </c>
      <c r="B618" s="23" t="s">
        <v>1794</v>
      </c>
      <c r="C618" s="95">
        <v>0</v>
      </c>
      <c r="D618" s="250">
        <v>890306</v>
      </c>
      <c r="E618" s="250">
        <v>0</v>
      </c>
      <c r="F618" s="253">
        <f t="shared" si="141"/>
        <v>890306</v>
      </c>
      <c r="G618" s="251">
        <v>0</v>
      </c>
      <c r="H618" s="256">
        <f t="shared" si="142"/>
        <v>890306</v>
      </c>
    </row>
    <row r="619" spans="1:8" s="15" customFormat="1" ht="12">
      <c r="A619" s="32">
        <v>560600</v>
      </c>
      <c r="B619" s="33" t="s">
        <v>1804</v>
      </c>
      <c r="C619" s="91">
        <f>+C620+C621</f>
        <v>0</v>
      </c>
      <c r="D619" s="251">
        <f>SUM(D620:D621)</f>
        <v>0</v>
      </c>
      <c r="E619" s="251">
        <f>SUM(E620:E621)</f>
        <v>0</v>
      </c>
      <c r="F619" s="251">
        <f>SUM(F620:F621)</f>
        <v>0</v>
      </c>
      <c r="G619" s="251">
        <f>SUM(G620:G621)</f>
        <v>0</v>
      </c>
      <c r="H619" s="256">
        <f>SUM(H620:H621)</f>
        <v>0</v>
      </c>
    </row>
    <row r="620" spans="1:8" s="15" customFormat="1" ht="12">
      <c r="A620" s="34">
        <v>560601</v>
      </c>
      <c r="B620" s="35" t="s">
        <v>1798</v>
      </c>
      <c r="C620" s="95">
        <v>0</v>
      </c>
      <c r="D620" s="250">
        <v>0</v>
      </c>
      <c r="E620" s="250">
        <v>0</v>
      </c>
      <c r="F620" s="253">
        <f>+C620+D620-E620</f>
        <v>0</v>
      </c>
      <c r="G620" s="251">
        <v>0</v>
      </c>
      <c r="H620" s="256">
        <f>+F620</f>
        <v>0</v>
      </c>
    </row>
    <row r="621" spans="1:8" s="15" customFormat="1" ht="12">
      <c r="A621" s="34">
        <v>560605</v>
      </c>
      <c r="B621" s="35" t="s">
        <v>1799</v>
      </c>
      <c r="C621" s="95">
        <v>0</v>
      </c>
      <c r="D621" s="250">
        <v>0</v>
      </c>
      <c r="E621" s="250">
        <v>0</v>
      </c>
      <c r="F621" s="253">
        <f>+C621+D621-E621</f>
        <v>0</v>
      </c>
      <c r="G621" s="251">
        <v>0</v>
      </c>
      <c r="H621" s="256">
        <f>+F621</f>
        <v>0</v>
      </c>
    </row>
    <row r="622" spans="1:8" ht="12">
      <c r="A622" s="32">
        <v>560700</v>
      </c>
      <c r="B622" s="33"/>
      <c r="C622" s="91">
        <f>+C623</f>
        <v>0</v>
      </c>
      <c r="D622" s="251">
        <f>D623</f>
        <v>76226</v>
      </c>
      <c r="E622" s="251">
        <f>E623</f>
        <v>76226</v>
      </c>
      <c r="F622" s="251">
        <f>F623</f>
        <v>0</v>
      </c>
      <c r="G622" s="251">
        <f>G623</f>
        <v>0</v>
      </c>
      <c r="H622" s="256">
        <f>H623</f>
        <v>0</v>
      </c>
    </row>
    <row r="623" spans="1:8" s="15" customFormat="1" ht="12">
      <c r="A623" s="34">
        <v>560705</v>
      </c>
      <c r="B623" s="35"/>
      <c r="C623" s="95">
        <v>0</v>
      </c>
      <c r="D623" s="250">
        <f>144000-67774</f>
        <v>76226</v>
      </c>
      <c r="E623" s="250">
        <f>144000-67774</f>
        <v>76226</v>
      </c>
      <c r="F623" s="253">
        <f>+C623+D623-E623</f>
        <v>0</v>
      </c>
      <c r="G623" s="251">
        <v>0</v>
      </c>
      <c r="H623" s="256">
        <f>+F623</f>
        <v>0</v>
      </c>
    </row>
    <row r="624" spans="1:8" ht="12">
      <c r="A624" s="32">
        <v>561100</v>
      </c>
      <c r="B624" s="33"/>
      <c r="C624" s="91">
        <f>+C625</f>
        <v>0</v>
      </c>
      <c r="D624" s="251">
        <f>D625</f>
        <v>4602</v>
      </c>
      <c r="E624" s="251">
        <f>E625</f>
        <v>4602</v>
      </c>
      <c r="F624" s="251">
        <f>F625</f>
        <v>0</v>
      </c>
      <c r="G624" s="251">
        <f>G625</f>
        <v>0</v>
      </c>
      <c r="H624" s="256">
        <f>H625</f>
        <v>0</v>
      </c>
    </row>
    <row r="625" spans="1:8" ht="12">
      <c r="A625" s="34">
        <v>561105</v>
      </c>
      <c r="B625" s="35"/>
      <c r="C625" s="95">
        <v>0</v>
      </c>
      <c r="D625" s="250">
        <v>4602</v>
      </c>
      <c r="E625" s="250">
        <v>4602</v>
      </c>
      <c r="F625" s="253">
        <f>+C625+D625-E625</f>
        <v>0</v>
      </c>
      <c r="G625" s="251">
        <v>0</v>
      </c>
      <c r="H625" s="256">
        <f>+F625</f>
        <v>0</v>
      </c>
    </row>
    <row r="626" spans="1:8" s="15" customFormat="1" ht="24">
      <c r="A626" s="32">
        <v>570000</v>
      </c>
      <c r="B626" s="33" t="s">
        <v>1614</v>
      </c>
      <c r="C626" s="91">
        <f>+C627+C634+C636+C638</f>
        <v>26324027</v>
      </c>
      <c r="D626" s="251">
        <f>D627+D634+D636+D638</f>
        <v>14100102</v>
      </c>
      <c r="E626" s="251">
        <f>E627+E634+E636+E638</f>
        <v>11626146</v>
      </c>
      <c r="F626" s="251">
        <f>F627+F634+F636+F638</f>
        <v>28797983</v>
      </c>
      <c r="G626" s="251">
        <f>G627+G634+G636+G638</f>
        <v>0</v>
      </c>
      <c r="H626" s="256">
        <f>H627+H634+H636+H638</f>
        <v>28797983</v>
      </c>
    </row>
    <row r="627" spans="1:8" ht="24">
      <c r="A627" s="32">
        <v>570500</v>
      </c>
      <c r="B627" s="33" t="s">
        <v>1805</v>
      </c>
      <c r="C627" s="91">
        <f>+SUM(C628:C633)</f>
        <v>0</v>
      </c>
      <c r="D627" s="251">
        <f>SUM(D628:D633)</f>
        <v>0</v>
      </c>
      <c r="E627" s="251">
        <f>SUM(E628:E633)</f>
        <v>0</v>
      </c>
      <c r="F627" s="251">
        <f>SUM(F628:F633)</f>
        <v>0</v>
      </c>
      <c r="G627" s="251">
        <f>SUM(G628:G633)</f>
        <v>0</v>
      </c>
      <c r="H627" s="256">
        <f>SUM(H628:H633)</f>
        <v>0</v>
      </c>
    </row>
    <row r="628" spans="1:8" ht="12">
      <c r="A628" s="34">
        <v>570501</v>
      </c>
      <c r="B628" s="35" t="s">
        <v>1806</v>
      </c>
      <c r="C628" s="95">
        <v>0</v>
      </c>
      <c r="D628" s="250">
        <v>0</v>
      </c>
      <c r="E628" s="250">
        <v>0</v>
      </c>
      <c r="F628" s="253">
        <f aca="true" t="shared" si="143" ref="F628:F633">+C628+D628-E628</f>
        <v>0</v>
      </c>
      <c r="G628" s="251">
        <v>0</v>
      </c>
      <c r="H628" s="256">
        <f aca="true" t="shared" si="144" ref="H628:H633">+F628</f>
        <v>0</v>
      </c>
    </row>
    <row r="629" spans="1:8" s="15" customFormat="1" ht="12">
      <c r="A629" s="34">
        <v>570502</v>
      </c>
      <c r="B629" s="35" t="s">
        <v>1617</v>
      </c>
      <c r="C629" s="95">
        <v>0</v>
      </c>
      <c r="D629" s="250">
        <v>0</v>
      </c>
      <c r="E629" s="250">
        <v>0</v>
      </c>
      <c r="F629" s="253">
        <f t="shared" si="143"/>
        <v>0</v>
      </c>
      <c r="G629" s="251">
        <v>0</v>
      </c>
      <c r="H629" s="256">
        <f t="shared" si="144"/>
        <v>0</v>
      </c>
    </row>
    <row r="630" spans="1:8" ht="12">
      <c r="A630" s="34">
        <v>570503</v>
      </c>
      <c r="B630" s="35" t="s">
        <v>1807</v>
      </c>
      <c r="C630" s="95">
        <v>0</v>
      </c>
      <c r="D630" s="250">
        <v>0</v>
      </c>
      <c r="E630" s="250">
        <v>0</v>
      </c>
      <c r="F630" s="253">
        <f t="shared" si="143"/>
        <v>0</v>
      </c>
      <c r="G630" s="251">
        <v>0</v>
      </c>
      <c r="H630" s="256">
        <f t="shared" si="144"/>
        <v>0</v>
      </c>
    </row>
    <row r="631" spans="1:8" ht="12">
      <c r="A631" s="34">
        <v>570505</v>
      </c>
      <c r="B631" s="35" t="s">
        <v>1618</v>
      </c>
      <c r="C631" s="95">
        <v>0</v>
      </c>
      <c r="D631" s="250">
        <v>0</v>
      </c>
      <c r="E631" s="250">
        <v>0</v>
      </c>
      <c r="F631" s="253">
        <f t="shared" si="143"/>
        <v>0</v>
      </c>
      <c r="G631" s="251">
        <v>0</v>
      </c>
      <c r="H631" s="256">
        <f t="shared" si="144"/>
        <v>0</v>
      </c>
    </row>
    <row r="632" spans="1:8" ht="12">
      <c r="A632" s="34">
        <v>570506</v>
      </c>
      <c r="B632" s="35" t="s">
        <v>1808</v>
      </c>
      <c r="C632" s="95">
        <v>0</v>
      </c>
      <c r="D632" s="250">
        <v>0</v>
      </c>
      <c r="E632" s="250">
        <v>0</v>
      </c>
      <c r="F632" s="253">
        <f t="shared" si="143"/>
        <v>0</v>
      </c>
      <c r="G632" s="251">
        <v>0</v>
      </c>
      <c r="H632" s="256">
        <f t="shared" si="144"/>
        <v>0</v>
      </c>
    </row>
    <row r="633" spans="1:8" s="15" customFormat="1" ht="12">
      <c r="A633" s="34">
        <v>570590</v>
      </c>
      <c r="B633" s="35" t="s">
        <v>1809</v>
      </c>
      <c r="C633" s="95">
        <v>0</v>
      </c>
      <c r="D633" s="250">
        <v>0</v>
      </c>
      <c r="E633" s="250">
        <v>0</v>
      </c>
      <c r="F633" s="253">
        <f t="shared" si="143"/>
        <v>0</v>
      </c>
      <c r="G633" s="251">
        <v>0</v>
      </c>
      <c r="H633" s="256">
        <f t="shared" si="144"/>
        <v>0</v>
      </c>
    </row>
    <row r="634" spans="1:8" ht="24">
      <c r="A634" s="32">
        <v>572000</v>
      </c>
      <c r="B634" s="33" t="s">
        <v>1810</v>
      </c>
      <c r="C634" s="91">
        <f>+C635</f>
        <v>26324027</v>
      </c>
      <c r="D634" s="251">
        <f>SUM(D635)</f>
        <v>14100102</v>
      </c>
      <c r="E634" s="251">
        <f>SUM(E635)</f>
        <v>11626146</v>
      </c>
      <c r="F634" s="251">
        <f>SUM(F635)</f>
        <v>28797983</v>
      </c>
      <c r="G634" s="251">
        <f>SUM(G635)</f>
        <v>0</v>
      </c>
      <c r="H634" s="256">
        <f>SUM(H635)</f>
        <v>28797983</v>
      </c>
    </row>
    <row r="635" spans="1:8" ht="12">
      <c r="A635" s="34">
        <v>572080</v>
      </c>
      <c r="B635" s="35" t="s">
        <v>1811</v>
      </c>
      <c r="C635" s="95">
        <v>26324027</v>
      </c>
      <c r="D635" s="250">
        <v>14100102</v>
      </c>
      <c r="E635" s="250">
        <v>11626146</v>
      </c>
      <c r="F635" s="253">
        <f>+C635+D635-E635</f>
        <v>28797983</v>
      </c>
      <c r="G635" s="251">
        <v>0</v>
      </c>
      <c r="H635" s="256">
        <f>+F635</f>
        <v>28797983</v>
      </c>
    </row>
    <row r="636" spans="1:8" ht="24">
      <c r="A636" s="32">
        <v>572200</v>
      </c>
      <c r="B636" s="33" t="s">
        <v>1812</v>
      </c>
      <c r="C636" s="91">
        <f>+C637</f>
        <v>0</v>
      </c>
      <c r="D636" s="251">
        <v>0</v>
      </c>
      <c r="E636" s="251">
        <v>0</v>
      </c>
      <c r="F636" s="251">
        <v>0</v>
      </c>
      <c r="G636" s="251">
        <v>0</v>
      </c>
      <c r="H636" s="256">
        <v>0</v>
      </c>
    </row>
    <row r="637" spans="1:8" ht="12">
      <c r="A637" s="34">
        <v>572201</v>
      </c>
      <c r="B637" s="35" t="s">
        <v>1625</v>
      </c>
      <c r="C637" s="95">
        <v>0</v>
      </c>
      <c r="D637" s="250">
        <v>0</v>
      </c>
      <c r="E637" s="250">
        <v>0</v>
      </c>
      <c r="F637" s="253">
        <f>+C637+D637-E637</f>
        <v>0</v>
      </c>
      <c r="G637" s="251">
        <v>0</v>
      </c>
      <c r="H637" s="256">
        <f>+F637</f>
        <v>0</v>
      </c>
    </row>
    <row r="638" spans="1:8" ht="24">
      <c r="A638" s="32">
        <v>572500</v>
      </c>
      <c r="B638" s="33" t="s">
        <v>1813</v>
      </c>
      <c r="C638" s="91">
        <f>+C639</f>
        <v>0</v>
      </c>
      <c r="D638" s="251">
        <f>D639</f>
        <v>0</v>
      </c>
      <c r="E638" s="251">
        <f>E639</f>
        <v>0</v>
      </c>
      <c r="F638" s="251">
        <f>F639</f>
        <v>0</v>
      </c>
      <c r="G638" s="251">
        <f>G639</f>
        <v>0</v>
      </c>
      <c r="H638" s="256">
        <f>H639</f>
        <v>0</v>
      </c>
    </row>
    <row r="639" spans="1:8" ht="12">
      <c r="A639" s="34">
        <v>572501</v>
      </c>
      <c r="B639" s="35" t="s">
        <v>1814</v>
      </c>
      <c r="C639" s="95">
        <v>0</v>
      </c>
      <c r="D639" s="250">
        <v>0</v>
      </c>
      <c r="E639" s="250">
        <v>0</v>
      </c>
      <c r="F639" s="253">
        <f>+C639+D639-E639</f>
        <v>0</v>
      </c>
      <c r="G639" s="251">
        <v>0</v>
      </c>
      <c r="H639" s="256">
        <f>+F639</f>
        <v>0</v>
      </c>
    </row>
    <row r="640" spans="1:8" ht="12">
      <c r="A640" s="32">
        <v>580000</v>
      </c>
      <c r="B640" s="33" t="s">
        <v>1815</v>
      </c>
      <c r="C640" s="91">
        <f>+C641+C644+C647+C651</f>
        <v>238255590</v>
      </c>
      <c r="D640" s="251">
        <f>D641+D644+D647+D651</f>
        <v>191113609</v>
      </c>
      <c r="E640" s="251">
        <f>E641+E644+E647+E651</f>
        <v>19485750</v>
      </c>
      <c r="F640" s="251">
        <f>F641+F644+F647+F651</f>
        <v>409883449</v>
      </c>
      <c r="G640" s="251">
        <f>G641+G644+G647+G651</f>
        <v>0</v>
      </c>
      <c r="H640" s="256">
        <f>H641+H644+H647+H651</f>
        <v>409883449</v>
      </c>
    </row>
    <row r="641" spans="1:8" ht="12">
      <c r="A641" s="32">
        <v>580100</v>
      </c>
      <c r="B641" s="33" t="s">
        <v>1816</v>
      </c>
      <c r="C641" s="91">
        <f>+C642+C643</f>
        <v>0</v>
      </c>
      <c r="D641" s="251">
        <f>SUM(D642:D643)</f>
        <v>0</v>
      </c>
      <c r="E641" s="251">
        <f>SUM(E642:E643)</f>
        <v>0</v>
      </c>
      <c r="F641" s="251">
        <f>SUM(F642:F643)</f>
        <v>0</v>
      </c>
      <c r="G641" s="251">
        <f>SUM(G642:G643)</f>
        <v>0</v>
      </c>
      <c r="H641" s="256">
        <f>SUM(H642:H643)</f>
        <v>0</v>
      </c>
    </row>
    <row r="642" spans="1:8" ht="24">
      <c r="A642" s="34">
        <v>580107</v>
      </c>
      <c r="B642" s="35" t="s">
        <v>1817</v>
      </c>
      <c r="C642" s="95">
        <v>0</v>
      </c>
      <c r="D642" s="250">
        <v>0</v>
      </c>
      <c r="E642" s="250">
        <v>0</v>
      </c>
      <c r="F642" s="253">
        <f>+C642+D642-E642</f>
        <v>0</v>
      </c>
      <c r="G642" s="251">
        <v>0</v>
      </c>
      <c r="H642" s="256">
        <f>+F642</f>
        <v>0</v>
      </c>
    </row>
    <row r="643" spans="1:8" ht="12">
      <c r="A643" s="34">
        <v>580110</v>
      </c>
      <c r="B643" s="35" t="s">
        <v>1818</v>
      </c>
      <c r="C643" s="95">
        <v>0</v>
      </c>
      <c r="D643" s="250">
        <v>0</v>
      </c>
      <c r="E643" s="250">
        <v>0</v>
      </c>
      <c r="F643" s="253">
        <f>+C643+D643-E643</f>
        <v>0</v>
      </c>
      <c r="G643" s="251">
        <v>0</v>
      </c>
      <c r="H643" s="256">
        <f>+F643</f>
        <v>0</v>
      </c>
    </row>
    <row r="644" spans="1:8" ht="12">
      <c r="A644" s="32">
        <v>580500</v>
      </c>
      <c r="B644" s="33" t="s">
        <v>1632</v>
      </c>
      <c r="C644" s="91">
        <f>+C645+C646</f>
        <v>24074</v>
      </c>
      <c r="D644" s="251">
        <f>SUM(D645:D646)</f>
        <v>4089</v>
      </c>
      <c r="E644" s="251">
        <f>SUM(E645:E646)</f>
        <v>8582</v>
      </c>
      <c r="F644" s="251">
        <f>SUM(F645:F646)</f>
        <v>19581</v>
      </c>
      <c r="G644" s="251">
        <f>SUM(G645:G646)</f>
        <v>0</v>
      </c>
      <c r="H644" s="256">
        <f>SUM(H645:H646)</f>
        <v>19581</v>
      </c>
    </row>
    <row r="645" spans="1:8" ht="12">
      <c r="A645" s="34">
        <v>580536</v>
      </c>
      <c r="B645" s="35" t="s">
        <v>1819</v>
      </c>
      <c r="C645" s="95">
        <v>24074</v>
      </c>
      <c r="D645" s="250">
        <v>4089</v>
      </c>
      <c r="E645" s="250">
        <v>8582</v>
      </c>
      <c r="F645" s="253">
        <f>+C645+D645-E645</f>
        <v>19581</v>
      </c>
      <c r="G645" s="251">
        <v>0</v>
      </c>
      <c r="H645" s="256">
        <f>+F645</f>
        <v>19581</v>
      </c>
    </row>
    <row r="646" spans="1:8" ht="12">
      <c r="A646" s="34">
        <v>580590</v>
      </c>
      <c r="B646" s="35" t="s">
        <v>1820</v>
      </c>
      <c r="C646" s="95">
        <v>0</v>
      </c>
      <c r="D646" s="250">
        <v>0</v>
      </c>
      <c r="E646" s="250">
        <v>0</v>
      </c>
      <c r="F646" s="253">
        <f>+C646+D646-E646</f>
        <v>0</v>
      </c>
      <c r="G646" s="251">
        <v>0</v>
      </c>
      <c r="H646" s="256">
        <f>+F646</f>
        <v>0</v>
      </c>
    </row>
    <row r="647" spans="1:8" ht="12">
      <c r="A647" s="32">
        <v>581000</v>
      </c>
      <c r="B647" s="33" t="s">
        <v>1642</v>
      </c>
      <c r="C647" s="91">
        <f>+C648+C649+C650</f>
        <v>389181</v>
      </c>
      <c r="D647" s="251">
        <f>SUM(D648:D650)</f>
        <v>726974</v>
      </c>
      <c r="E647" s="251">
        <f>SUM(E648:E650)</f>
        <v>110461</v>
      </c>
      <c r="F647" s="251">
        <f>SUM(F648:F650)</f>
        <v>1005694</v>
      </c>
      <c r="G647" s="251">
        <f>SUM(G648:G650)</f>
        <v>0</v>
      </c>
      <c r="H647" s="256">
        <f>SUM(H648:H650)</f>
        <v>1005694</v>
      </c>
    </row>
    <row r="648" spans="1:8" ht="12">
      <c r="A648" s="34">
        <v>581003</v>
      </c>
      <c r="B648" s="35" t="s">
        <v>1821</v>
      </c>
      <c r="C648" s="95">
        <v>14</v>
      </c>
      <c r="D648" s="250">
        <v>59</v>
      </c>
      <c r="E648" s="250">
        <v>0</v>
      </c>
      <c r="F648" s="253">
        <f>+C648+D648-E648</f>
        <v>73</v>
      </c>
      <c r="G648" s="251">
        <v>0</v>
      </c>
      <c r="H648" s="256">
        <f>+F648</f>
        <v>73</v>
      </c>
    </row>
    <row r="649" spans="1:8" ht="12">
      <c r="A649" s="34">
        <v>581004</v>
      </c>
      <c r="B649" s="35" t="s">
        <v>1647</v>
      </c>
      <c r="C649" s="95">
        <v>280423</v>
      </c>
      <c r="D649" s="250">
        <v>719081</v>
      </c>
      <c r="E649" s="250">
        <v>0</v>
      </c>
      <c r="F649" s="253">
        <f>+C649+D649-E649</f>
        <v>999504</v>
      </c>
      <c r="G649" s="251">
        <v>0</v>
      </c>
      <c r="H649" s="256">
        <f>+F649</f>
        <v>999504</v>
      </c>
    </row>
    <row r="650" spans="1:8" ht="24">
      <c r="A650" s="34">
        <v>581033</v>
      </c>
      <c r="B650" s="35" t="s">
        <v>1822</v>
      </c>
      <c r="C650" s="95">
        <v>108744</v>
      </c>
      <c r="D650" s="250">
        <v>7834</v>
      </c>
      <c r="E650" s="250">
        <v>110461</v>
      </c>
      <c r="F650" s="253">
        <f>+C650+D650-E650</f>
        <v>6117</v>
      </c>
      <c r="G650" s="251">
        <v>0</v>
      </c>
      <c r="H650" s="256">
        <f>+F650</f>
        <v>6117</v>
      </c>
    </row>
    <row r="651" spans="1:8" ht="12">
      <c r="A651" s="32">
        <v>581500</v>
      </c>
      <c r="B651" s="33" t="s">
        <v>1651</v>
      </c>
      <c r="C651" s="91">
        <f>+SUM(C652:C670)</f>
        <v>237842335</v>
      </c>
      <c r="D651" s="251">
        <f>SUM(D652:D670)</f>
        <v>190382546</v>
      </c>
      <c r="E651" s="251">
        <f>SUM(E652:E670)</f>
        <v>19366707</v>
      </c>
      <c r="F651" s="251">
        <f>SUM(F652:F670)</f>
        <v>408858174</v>
      </c>
      <c r="G651" s="251">
        <f>SUM(G652:G670)</f>
        <v>0</v>
      </c>
      <c r="H651" s="256">
        <f>SUM(H652:H670)</f>
        <v>408858174</v>
      </c>
    </row>
    <row r="652" spans="1:8" s="15" customFormat="1" ht="12">
      <c r="A652" s="34">
        <v>581506</v>
      </c>
      <c r="B652" s="35" t="s">
        <v>1798</v>
      </c>
      <c r="C652" s="95">
        <v>93375</v>
      </c>
      <c r="D652" s="250">
        <v>8918756</v>
      </c>
      <c r="E652" s="250">
        <v>8918368</v>
      </c>
      <c r="F652" s="253">
        <f aca="true" t="shared" si="145" ref="F652:F670">+C652+D652-E652</f>
        <v>93763</v>
      </c>
      <c r="G652" s="251">
        <v>0</v>
      </c>
      <c r="H652" s="256">
        <f aca="true" t="shared" si="146" ref="H652:H670">+F652</f>
        <v>93763</v>
      </c>
    </row>
    <row r="653" spans="1:8" s="15" customFormat="1" ht="12">
      <c r="A653" s="34">
        <v>581509</v>
      </c>
      <c r="B653" s="35" t="s">
        <v>1823</v>
      </c>
      <c r="C653" s="95">
        <v>0</v>
      </c>
      <c r="D653" s="250">
        <v>0</v>
      </c>
      <c r="E653" s="250">
        <v>0</v>
      </c>
      <c r="F653" s="253">
        <f t="shared" si="145"/>
        <v>0</v>
      </c>
      <c r="G653" s="251">
        <v>0</v>
      </c>
      <c r="H653" s="256">
        <f t="shared" si="146"/>
        <v>0</v>
      </c>
    </row>
    <row r="654" spans="1:8" ht="12">
      <c r="A654" s="34">
        <v>581510</v>
      </c>
      <c r="B654" s="35" t="s">
        <v>1617</v>
      </c>
      <c r="C654" s="95">
        <v>0</v>
      </c>
      <c r="D654" s="250">
        <v>202</v>
      </c>
      <c r="E654" s="250">
        <v>202</v>
      </c>
      <c r="F654" s="253">
        <f t="shared" si="145"/>
        <v>0</v>
      </c>
      <c r="G654" s="251">
        <v>0</v>
      </c>
      <c r="H654" s="256">
        <f t="shared" si="146"/>
        <v>0</v>
      </c>
    </row>
    <row r="655" spans="1:8" s="15" customFormat="1" ht="12">
      <c r="A655" s="34">
        <v>581511</v>
      </c>
      <c r="B655" s="35" t="s">
        <v>1824</v>
      </c>
      <c r="C655" s="95">
        <v>0</v>
      </c>
      <c r="D655" s="250">
        <v>0</v>
      </c>
      <c r="E655" s="250">
        <v>0</v>
      </c>
      <c r="F655" s="253">
        <f t="shared" si="145"/>
        <v>0</v>
      </c>
      <c r="G655" s="251">
        <v>0</v>
      </c>
      <c r="H655" s="256">
        <f t="shared" si="146"/>
        <v>0</v>
      </c>
    </row>
    <row r="656" spans="1:8" s="15" customFormat="1" ht="12">
      <c r="A656" s="34">
        <v>581516</v>
      </c>
      <c r="B656" s="35" t="s">
        <v>1825</v>
      </c>
      <c r="C656" s="95">
        <v>28</v>
      </c>
      <c r="D656" s="250">
        <v>16</v>
      </c>
      <c r="E656" s="250">
        <v>0</v>
      </c>
      <c r="F656" s="253">
        <f t="shared" si="145"/>
        <v>44</v>
      </c>
      <c r="G656" s="251">
        <v>0</v>
      </c>
      <c r="H656" s="256">
        <f t="shared" si="146"/>
        <v>44</v>
      </c>
    </row>
    <row r="657" spans="1:8" s="15" customFormat="1" ht="12">
      <c r="A657" s="34">
        <v>581517</v>
      </c>
      <c r="B657" s="35" t="s">
        <v>1826</v>
      </c>
      <c r="C657" s="95">
        <v>2851</v>
      </c>
      <c r="D657" s="250">
        <v>0</v>
      </c>
      <c r="E657" s="250">
        <v>0</v>
      </c>
      <c r="F657" s="253">
        <f t="shared" si="145"/>
        <v>2851</v>
      </c>
      <c r="G657" s="251">
        <v>0</v>
      </c>
      <c r="H657" s="256">
        <f t="shared" si="146"/>
        <v>2851</v>
      </c>
    </row>
    <row r="658" spans="1:8" ht="12">
      <c r="A658" s="34">
        <v>581520</v>
      </c>
      <c r="B658" s="35" t="s">
        <v>1827</v>
      </c>
      <c r="C658" s="95">
        <v>126717619</v>
      </c>
      <c r="D658" s="250">
        <v>27197697</v>
      </c>
      <c r="E658" s="250">
        <v>753463</v>
      </c>
      <c r="F658" s="253">
        <f t="shared" si="145"/>
        <v>153161853</v>
      </c>
      <c r="G658" s="251">
        <v>0</v>
      </c>
      <c r="H658" s="256">
        <f t="shared" si="146"/>
        <v>153161853</v>
      </c>
    </row>
    <row r="659" spans="1:8" ht="12">
      <c r="A659" s="34">
        <v>581527</v>
      </c>
      <c r="B659" s="35" t="s">
        <v>1828</v>
      </c>
      <c r="C659" s="95">
        <v>0</v>
      </c>
      <c r="D659" s="250">
        <v>0</v>
      </c>
      <c r="E659" s="250">
        <v>0</v>
      </c>
      <c r="F659" s="253">
        <f t="shared" si="145"/>
        <v>0</v>
      </c>
      <c r="G659" s="251">
        <v>0</v>
      </c>
      <c r="H659" s="256">
        <f t="shared" si="146"/>
        <v>0</v>
      </c>
    </row>
    <row r="660" spans="1:8" s="15" customFormat="1" ht="12">
      <c r="A660" s="34">
        <v>581535</v>
      </c>
      <c r="B660" s="35" t="s">
        <v>1829</v>
      </c>
      <c r="C660" s="95">
        <v>0</v>
      </c>
      <c r="D660" s="250">
        <v>0</v>
      </c>
      <c r="E660" s="250">
        <v>0</v>
      </c>
      <c r="F660" s="253">
        <f t="shared" si="145"/>
        <v>0</v>
      </c>
      <c r="G660" s="251">
        <v>0</v>
      </c>
      <c r="H660" s="256">
        <f t="shared" si="146"/>
        <v>0</v>
      </c>
    </row>
    <row r="661" spans="1:8" ht="12">
      <c r="A661" s="34"/>
      <c r="B661" s="35"/>
      <c r="C661" s="95">
        <v>0</v>
      </c>
      <c r="D661" s="250">
        <v>5821112</v>
      </c>
      <c r="E661" s="250">
        <v>5821112</v>
      </c>
      <c r="F661" s="253">
        <f t="shared" si="145"/>
        <v>0</v>
      </c>
      <c r="G661" s="251">
        <v>0</v>
      </c>
      <c r="H661" s="256">
        <f t="shared" si="146"/>
        <v>0</v>
      </c>
    </row>
    <row r="662" spans="1:8" s="15" customFormat="1" ht="12">
      <c r="A662" s="34">
        <v>581542</v>
      </c>
      <c r="B662" s="35" t="s">
        <v>1830</v>
      </c>
      <c r="C662" s="95">
        <v>0</v>
      </c>
      <c r="D662" s="250">
        <v>0</v>
      </c>
      <c r="E662" s="250">
        <v>0</v>
      </c>
      <c r="F662" s="253">
        <f t="shared" si="145"/>
        <v>0</v>
      </c>
      <c r="G662" s="251">
        <v>0</v>
      </c>
      <c r="H662" s="256">
        <f t="shared" si="146"/>
        <v>0</v>
      </c>
    </row>
    <row r="663" spans="1:8" ht="24">
      <c r="A663" s="34">
        <v>581544</v>
      </c>
      <c r="B663" s="35" t="s">
        <v>1831</v>
      </c>
      <c r="C663" s="95">
        <v>0</v>
      </c>
      <c r="D663" s="250">
        <v>0</v>
      </c>
      <c r="E663" s="250">
        <v>0</v>
      </c>
      <c r="F663" s="253">
        <f t="shared" si="145"/>
        <v>0</v>
      </c>
      <c r="G663" s="251">
        <v>0</v>
      </c>
      <c r="H663" s="256">
        <f t="shared" si="146"/>
        <v>0</v>
      </c>
    </row>
    <row r="664" spans="1:8" ht="24">
      <c r="A664" s="34">
        <v>581545</v>
      </c>
      <c r="B664" s="35" t="s">
        <v>1832</v>
      </c>
      <c r="C664" s="95">
        <v>0</v>
      </c>
      <c r="D664" s="250">
        <v>0</v>
      </c>
      <c r="E664" s="250">
        <v>0</v>
      </c>
      <c r="F664" s="253">
        <f t="shared" si="145"/>
        <v>0</v>
      </c>
      <c r="G664" s="251">
        <v>0</v>
      </c>
      <c r="H664" s="256">
        <f t="shared" si="146"/>
        <v>0</v>
      </c>
    </row>
    <row r="665" spans="1:8" ht="24">
      <c r="A665" s="34">
        <v>581546</v>
      </c>
      <c r="B665" s="35" t="s">
        <v>1833</v>
      </c>
      <c r="C665" s="95">
        <v>0</v>
      </c>
      <c r="D665" s="250">
        <v>0</v>
      </c>
      <c r="E665" s="250">
        <v>0</v>
      </c>
      <c r="F665" s="253">
        <f t="shared" si="145"/>
        <v>0</v>
      </c>
      <c r="G665" s="251">
        <v>0</v>
      </c>
      <c r="H665" s="256">
        <f t="shared" si="146"/>
        <v>0</v>
      </c>
    </row>
    <row r="666" spans="1:8" s="15" customFormat="1" ht="12">
      <c r="A666" s="34">
        <v>581557</v>
      </c>
      <c r="B666" s="35" t="s">
        <v>1834</v>
      </c>
      <c r="C666" s="95">
        <v>0</v>
      </c>
      <c r="D666" s="250">
        <v>0</v>
      </c>
      <c r="E666" s="250">
        <v>0</v>
      </c>
      <c r="F666" s="253">
        <f t="shared" si="145"/>
        <v>0</v>
      </c>
      <c r="G666" s="251">
        <v>0</v>
      </c>
      <c r="H666" s="256">
        <f t="shared" si="146"/>
        <v>0</v>
      </c>
    </row>
    <row r="667" spans="1:8" ht="24">
      <c r="A667" s="34">
        <v>581558</v>
      </c>
      <c r="B667" s="35" t="s">
        <v>1835</v>
      </c>
      <c r="C667" s="95">
        <v>0</v>
      </c>
      <c r="D667" s="250">
        <v>0</v>
      </c>
      <c r="E667" s="250">
        <v>0</v>
      </c>
      <c r="F667" s="253">
        <f t="shared" si="145"/>
        <v>0</v>
      </c>
      <c r="G667" s="251">
        <v>0</v>
      </c>
      <c r="H667" s="256">
        <f t="shared" si="146"/>
        <v>0</v>
      </c>
    </row>
    <row r="668" spans="1:8" s="15" customFormat="1" ht="24">
      <c r="A668" s="34">
        <v>581559</v>
      </c>
      <c r="B668" s="35" t="s">
        <v>1836</v>
      </c>
      <c r="C668" s="95">
        <v>0</v>
      </c>
      <c r="D668" s="250">
        <v>2669750</v>
      </c>
      <c r="E668" s="250">
        <f>2669750</f>
        <v>2669750</v>
      </c>
      <c r="F668" s="253">
        <f t="shared" si="145"/>
        <v>0</v>
      </c>
      <c r="G668" s="251">
        <v>0</v>
      </c>
      <c r="H668" s="256">
        <f t="shared" si="146"/>
        <v>0</v>
      </c>
    </row>
    <row r="669" spans="1:8" s="15" customFormat="1" ht="24">
      <c r="A669" s="34">
        <v>581576</v>
      </c>
      <c r="B669" s="35" t="s">
        <v>1837</v>
      </c>
      <c r="C669" s="95">
        <v>111028462</v>
      </c>
      <c r="D669" s="250">
        <v>145767701</v>
      </c>
      <c r="E669" s="250">
        <v>1196500</v>
      </c>
      <c r="F669" s="253">
        <f t="shared" si="145"/>
        <v>255599663</v>
      </c>
      <c r="G669" s="251">
        <v>0</v>
      </c>
      <c r="H669" s="256">
        <f t="shared" si="146"/>
        <v>255599663</v>
      </c>
    </row>
    <row r="670" spans="1:8" ht="24">
      <c r="A670" s="34">
        <v>581586</v>
      </c>
      <c r="B670" s="35" t="s">
        <v>1838</v>
      </c>
      <c r="C670" s="95">
        <v>0</v>
      </c>
      <c r="D670" s="250">
        <v>7312</v>
      </c>
      <c r="E670" s="250">
        <v>7312</v>
      </c>
      <c r="F670" s="253">
        <f t="shared" si="145"/>
        <v>0</v>
      </c>
      <c r="G670" s="251">
        <v>0</v>
      </c>
      <c r="H670" s="256">
        <f t="shared" si="146"/>
        <v>0</v>
      </c>
    </row>
    <row r="671" spans="1:8" ht="24">
      <c r="A671" s="32">
        <v>590000</v>
      </c>
      <c r="B671" s="33" t="s">
        <v>1839</v>
      </c>
      <c r="C671" s="91">
        <f>+C672</f>
        <v>0</v>
      </c>
      <c r="D671" s="251">
        <f>D672</f>
        <v>0</v>
      </c>
      <c r="E671" s="251">
        <f>E672</f>
        <v>88928398</v>
      </c>
      <c r="F671" s="251">
        <f aca="true" t="shared" si="147" ref="F671:H672">F672</f>
        <v>-88928398</v>
      </c>
      <c r="G671" s="251">
        <f t="shared" si="147"/>
        <v>0</v>
      </c>
      <c r="H671" s="256">
        <f t="shared" si="147"/>
        <v>-88928398</v>
      </c>
    </row>
    <row r="672" spans="1:8" ht="24">
      <c r="A672" s="32">
        <v>590500</v>
      </c>
      <c r="B672" s="33" t="s">
        <v>1839</v>
      </c>
      <c r="C672" s="91">
        <f>+C673</f>
        <v>0</v>
      </c>
      <c r="D672" s="251">
        <f>D673</f>
        <v>0</v>
      </c>
      <c r="E672" s="251">
        <f>E673</f>
        <v>88928398</v>
      </c>
      <c r="F672" s="251">
        <f t="shared" si="147"/>
        <v>-88928398</v>
      </c>
      <c r="G672" s="251">
        <f t="shared" si="147"/>
        <v>0</v>
      </c>
      <c r="H672" s="256">
        <f t="shared" si="147"/>
        <v>-88928398</v>
      </c>
    </row>
    <row r="673" spans="1:8" ht="12">
      <c r="A673" s="34">
        <v>590501</v>
      </c>
      <c r="B673" s="35" t="s">
        <v>1840</v>
      </c>
      <c r="C673" s="95">
        <v>0</v>
      </c>
      <c r="D673" s="250">
        <v>0</v>
      </c>
      <c r="E673" s="250">
        <v>88928398</v>
      </c>
      <c r="F673" s="253">
        <f>+C673+D673-E673</f>
        <v>-88928398</v>
      </c>
      <c r="G673" s="251">
        <v>0</v>
      </c>
      <c r="H673" s="256">
        <f>+F673</f>
        <v>-88928398</v>
      </c>
    </row>
    <row r="674" spans="1:8" s="15" customFormat="1" ht="12">
      <c r="A674" s="32">
        <v>800000</v>
      </c>
      <c r="B674" s="33" t="s">
        <v>1841</v>
      </c>
      <c r="C674" s="91">
        <f aca="true" t="shared" si="148" ref="C674:H674">+C675+C687</f>
        <v>0</v>
      </c>
      <c r="D674" s="91">
        <f t="shared" si="148"/>
        <v>23876559</v>
      </c>
      <c r="E674" s="91">
        <f t="shared" si="148"/>
        <v>23876559</v>
      </c>
      <c r="F674" s="91">
        <f t="shared" si="148"/>
        <v>0</v>
      </c>
      <c r="G674" s="91">
        <f t="shared" si="148"/>
        <v>0</v>
      </c>
      <c r="H674" s="25">
        <f t="shared" si="148"/>
        <v>0</v>
      </c>
    </row>
    <row r="675" spans="1:8" s="15" customFormat="1" ht="12">
      <c r="A675" s="32">
        <v>830000</v>
      </c>
      <c r="B675" s="33" t="s">
        <v>1842</v>
      </c>
      <c r="C675" s="91">
        <f aca="true" t="shared" si="149" ref="C675:H675">+C676+C679+C681+C685</f>
        <v>14246563</v>
      </c>
      <c r="D675" s="91">
        <f t="shared" si="149"/>
        <v>12279927</v>
      </c>
      <c r="E675" s="91">
        <f t="shared" si="149"/>
        <v>11596632</v>
      </c>
      <c r="F675" s="91">
        <f t="shared" si="149"/>
        <v>14929858</v>
      </c>
      <c r="G675" s="91">
        <f t="shared" si="149"/>
        <v>0</v>
      </c>
      <c r="H675" s="25">
        <f t="shared" si="149"/>
        <v>14929858</v>
      </c>
    </row>
    <row r="676" spans="1:8" s="15" customFormat="1" ht="24">
      <c r="A676" s="32">
        <v>831500</v>
      </c>
      <c r="B676" s="33" t="s">
        <v>2505</v>
      </c>
      <c r="C676" s="91">
        <f aca="true" t="shared" si="150" ref="C676:H676">+C677+C678</f>
        <v>50178</v>
      </c>
      <c r="D676" s="91">
        <f t="shared" si="150"/>
        <v>0</v>
      </c>
      <c r="E676" s="91">
        <f t="shared" si="150"/>
        <v>0</v>
      </c>
      <c r="F676" s="91">
        <f t="shared" si="150"/>
        <v>50178</v>
      </c>
      <c r="G676" s="91">
        <f t="shared" si="150"/>
        <v>0</v>
      </c>
      <c r="H676" s="25">
        <f t="shared" si="150"/>
        <v>50178</v>
      </c>
    </row>
    <row r="677" spans="1:8" ht="12">
      <c r="A677" s="34">
        <v>831507</v>
      </c>
      <c r="B677" s="35" t="s">
        <v>3521</v>
      </c>
      <c r="C677" s="95">
        <v>50178</v>
      </c>
      <c r="D677" s="250">
        <v>0</v>
      </c>
      <c r="E677" s="250">
        <v>0</v>
      </c>
      <c r="F677" s="253">
        <f>+C677+D677-E677</f>
        <v>50178</v>
      </c>
      <c r="G677" s="251">
        <v>0</v>
      </c>
      <c r="H677" s="256">
        <f>+F677</f>
        <v>50178</v>
      </c>
    </row>
    <row r="678" spans="1:8" s="15" customFormat="1" ht="12">
      <c r="A678" s="34">
        <v>831535</v>
      </c>
      <c r="B678" s="35" t="s">
        <v>2506</v>
      </c>
      <c r="C678" s="95">
        <v>0</v>
      </c>
      <c r="D678" s="250">
        <v>0</v>
      </c>
      <c r="E678" s="250">
        <v>0</v>
      </c>
      <c r="F678" s="253">
        <f>+C678+D678-E678</f>
        <v>0</v>
      </c>
      <c r="G678" s="251">
        <v>0</v>
      </c>
      <c r="H678" s="256">
        <f>+F678</f>
        <v>0</v>
      </c>
    </row>
    <row r="679" spans="1:8" ht="24">
      <c r="A679" s="32">
        <v>831600</v>
      </c>
      <c r="B679" s="33" t="s">
        <v>894</v>
      </c>
      <c r="C679" s="91">
        <f>+C680</f>
        <v>0</v>
      </c>
      <c r="D679" s="251">
        <f>D680</f>
        <v>0</v>
      </c>
      <c r="E679" s="251">
        <f>E680</f>
        <v>0</v>
      </c>
      <c r="F679" s="251">
        <f>F680</f>
        <v>0</v>
      </c>
      <c r="G679" s="251">
        <f>G680</f>
        <v>0</v>
      </c>
      <c r="H679" s="256">
        <f>H680</f>
        <v>0</v>
      </c>
    </row>
    <row r="680" spans="1:8" s="15" customFormat="1" ht="24">
      <c r="A680" s="34">
        <v>831690</v>
      </c>
      <c r="B680" s="35" t="s">
        <v>898</v>
      </c>
      <c r="C680" s="95">
        <v>0</v>
      </c>
      <c r="D680" s="250">
        <v>0</v>
      </c>
      <c r="E680" s="250">
        <v>0</v>
      </c>
      <c r="F680" s="251">
        <f>+C680+D680-E680</f>
        <v>0</v>
      </c>
      <c r="G680" s="251">
        <v>0</v>
      </c>
      <c r="H680" s="256">
        <f>+F680</f>
        <v>0</v>
      </c>
    </row>
    <row r="681" spans="1:8" ht="12">
      <c r="A681" s="32">
        <v>833000</v>
      </c>
      <c r="B681" s="33" t="s">
        <v>2507</v>
      </c>
      <c r="C681" s="91">
        <f>+C682+C683+C684</f>
        <v>14196385</v>
      </c>
      <c r="D681" s="251">
        <f>SUM(D682:D684)</f>
        <v>684295</v>
      </c>
      <c r="E681" s="251">
        <f>SUM(E682:E684)</f>
        <v>1000</v>
      </c>
      <c r="F681" s="251">
        <f>SUM(F682:F684)</f>
        <v>14879680</v>
      </c>
      <c r="G681" s="251">
        <f>SUM(G682:G684)</f>
        <v>0</v>
      </c>
      <c r="H681" s="256">
        <f>SUM(H682:H684)</f>
        <v>14879680</v>
      </c>
    </row>
    <row r="682" spans="1:8" s="15" customFormat="1" ht="12">
      <c r="A682" s="34">
        <v>833005</v>
      </c>
      <c r="B682" s="35" t="s">
        <v>902</v>
      </c>
      <c r="C682" s="95">
        <v>11715834</v>
      </c>
      <c r="D682" s="250">
        <v>0</v>
      </c>
      <c r="E682" s="250">
        <v>0</v>
      </c>
      <c r="F682" s="253">
        <f>+C682+D682-E682</f>
        <v>11715834</v>
      </c>
      <c r="G682" s="251">
        <v>0</v>
      </c>
      <c r="H682" s="256">
        <f>+F682</f>
        <v>11715834</v>
      </c>
    </row>
    <row r="683" spans="1:8" s="15" customFormat="1" ht="12">
      <c r="A683" s="34">
        <v>833008</v>
      </c>
      <c r="B683" s="35" t="s">
        <v>840</v>
      </c>
      <c r="C683" s="95">
        <v>2229636</v>
      </c>
      <c r="D683" s="250">
        <v>684295</v>
      </c>
      <c r="E683" s="250">
        <v>1000</v>
      </c>
      <c r="F683" s="253">
        <f>+C683+D683-E683</f>
        <v>2912931</v>
      </c>
      <c r="G683" s="251">
        <v>0</v>
      </c>
      <c r="H683" s="256">
        <f>+F683</f>
        <v>2912931</v>
      </c>
    </row>
    <row r="684" spans="1:8" ht="12">
      <c r="A684" s="34">
        <v>833013</v>
      </c>
      <c r="B684" s="35" t="s">
        <v>1743</v>
      </c>
      <c r="C684" s="95">
        <v>250915</v>
      </c>
      <c r="D684" s="250">
        <v>0</v>
      </c>
      <c r="E684" s="250">
        <v>0</v>
      </c>
      <c r="F684" s="253">
        <f>+C684+D684-E684</f>
        <v>250915</v>
      </c>
      <c r="G684" s="251">
        <v>0</v>
      </c>
      <c r="H684" s="256">
        <f>+F684</f>
        <v>250915</v>
      </c>
    </row>
    <row r="685" spans="1:8" ht="24">
      <c r="A685" s="32">
        <v>839000</v>
      </c>
      <c r="B685" s="33" t="s">
        <v>2508</v>
      </c>
      <c r="C685" s="91">
        <f>+C686</f>
        <v>0</v>
      </c>
      <c r="D685" s="251">
        <f>D686</f>
        <v>11595632</v>
      </c>
      <c r="E685" s="251">
        <f>E686</f>
        <v>11595632</v>
      </c>
      <c r="F685" s="251">
        <f>F686</f>
        <v>0</v>
      </c>
      <c r="G685" s="251">
        <f>G686</f>
        <v>0</v>
      </c>
      <c r="H685" s="256">
        <f>H686</f>
        <v>0</v>
      </c>
    </row>
    <row r="686" spans="1:8" ht="12">
      <c r="A686" s="34">
        <v>839090</v>
      </c>
      <c r="B686" s="35" t="s">
        <v>2509</v>
      </c>
      <c r="C686" s="95">
        <v>0</v>
      </c>
      <c r="D686" s="250">
        <v>11595632</v>
      </c>
      <c r="E686" s="250">
        <v>11595632</v>
      </c>
      <c r="F686" s="253">
        <f>+C686+D686-E686</f>
        <v>0</v>
      </c>
      <c r="G686" s="251">
        <v>0</v>
      </c>
      <c r="H686" s="256">
        <f>+F686</f>
        <v>0</v>
      </c>
    </row>
    <row r="687" spans="1:8" s="15" customFormat="1" ht="12">
      <c r="A687" s="32">
        <v>890000</v>
      </c>
      <c r="B687" s="33" t="s">
        <v>2510</v>
      </c>
      <c r="C687" s="91">
        <f>+C688</f>
        <v>-14246563</v>
      </c>
      <c r="D687" s="251">
        <f>D688</f>
        <v>11596632</v>
      </c>
      <c r="E687" s="251">
        <f>E688</f>
        <v>12279927</v>
      </c>
      <c r="F687" s="251">
        <f>F688</f>
        <v>-14929858</v>
      </c>
      <c r="G687" s="251">
        <f>G688</f>
        <v>0</v>
      </c>
      <c r="H687" s="256">
        <f>H688</f>
        <v>-14929858</v>
      </c>
    </row>
    <row r="688" spans="1:8" ht="24">
      <c r="A688" s="32">
        <v>891500</v>
      </c>
      <c r="B688" s="33" t="s">
        <v>2511</v>
      </c>
      <c r="C688" s="91">
        <f>+SUM(C689:C692)</f>
        <v>-14246563</v>
      </c>
      <c r="D688" s="251">
        <f>SUM(D689:D692)</f>
        <v>11596632</v>
      </c>
      <c r="E688" s="251">
        <f>SUM(E689:E692)</f>
        <v>12279927</v>
      </c>
      <c r="F688" s="251">
        <f>SUM(F689:F692)</f>
        <v>-14929858</v>
      </c>
      <c r="G688" s="251">
        <f>SUM(G689:G692)</f>
        <v>0</v>
      </c>
      <c r="H688" s="256">
        <f>SUM(H689:H692)</f>
        <v>-14929858</v>
      </c>
    </row>
    <row r="689" spans="1:8" ht="24">
      <c r="A689" s="34">
        <v>891506</v>
      </c>
      <c r="B689" s="35" t="s">
        <v>2512</v>
      </c>
      <c r="C689" s="95">
        <v>-50178</v>
      </c>
      <c r="D689" s="250">
        <v>0</v>
      </c>
      <c r="E689" s="250">
        <v>0</v>
      </c>
      <c r="F689" s="251">
        <f>+C689-D689+E689</f>
        <v>-50178</v>
      </c>
      <c r="G689" s="251">
        <v>0</v>
      </c>
      <c r="H689" s="256">
        <f>+F689</f>
        <v>-50178</v>
      </c>
    </row>
    <row r="690" spans="1:8" s="15" customFormat="1" ht="24">
      <c r="A690" s="34">
        <v>891507</v>
      </c>
      <c r="B690" s="35" t="s">
        <v>2513</v>
      </c>
      <c r="C690" s="95">
        <v>0</v>
      </c>
      <c r="D690" s="250">
        <v>0</v>
      </c>
      <c r="E690" s="250">
        <v>0</v>
      </c>
      <c r="F690" s="251">
        <f>+C690-D690+E690</f>
        <v>0</v>
      </c>
      <c r="G690" s="251">
        <v>0</v>
      </c>
      <c r="H690" s="256">
        <f>+F690</f>
        <v>0</v>
      </c>
    </row>
    <row r="691" spans="1:8" s="15" customFormat="1" ht="12">
      <c r="A691" s="34">
        <v>891511</v>
      </c>
      <c r="B691" s="35" t="s">
        <v>2514</v>
      </c>
      <c r="C691" s="95">
        <v>-14196385</v>
      </c>
      <c r="D691" s="250">
        <v>1000</v>
      </c>
      <c r="E691" s="250">
        <v>684295</v>
      </c>
      <c r="F691" s="251">
        <f>+C691+D691-E691</f>
        <v>-14879680</v>
      </c>
      <c r="G691" s="251">
        <v>0</v>
      </c>
      <c r="H691" s="256">
        <f>+F691</f>
        <v>-14879680</v>
      </c>
    </row>
    <row r="692" spans="1:8" ht="12">
      <c r="A692" s="34">
        <v>891590</v>
      </c>
      <c r="B692" s="35" t="s">
        <v>2515</v>
      </c>
      <c r="C692" s="95">
        <v>0</v>
      </c>
      <c r="D692" s="250">
        <v>11595632</v>
      </c>
      <c r="E692" s="250">
        <v>11595632</v>
      </c>
      <c r="F692" s="251">
        <f>+C692-D692+E692</f>
        <v>0</v>
      </c>
      <c r="G692" s="251">
        <v>0</v>
      </c>
      <c r="H692" s="256">
        <f>+F692</f>
        <v>0</v>
      </c>
    </row>
    <row r="693" spans="1:8" ht="12">
      <c r="A693" s="32">
        <v>900000</v>
      </c>
      <c r="B693" s="33" t="s">
        <v>2516</v>
      </c>
      <c r="C693" s="91">
        <f aca="true" t="shared" si="151" ref="C693:H693">+C694+C701+C709</f>
        <v>0</v>
      </c>
      <c r="D693" s="91">
        <f t="shared" si="151"/>
        <v>1667792550</v>
      </c>
      <c r="E693" s="91">
        <f t="shared" si="151"/>
        <v>1667792550</v>
      </c>
      <c r="F693" s="91">
        <f t="shared" si="151"/>
        <v>0</v>
      </c>
      <c r="G693" s="91">
        <f t="shared" si="151"/>
        <v>0</v>
      </c>
      <c r="H693" s="25">
        <f t="shared" si="151"/>
        <v>0</v>
      </c>
    </row>
    <row r="694" spans="1:8" ht="12">
      <c r="A694" s="32">
        <v>910000</v>
      </c>
      <c r="B694" s="33" t="s">
        <v>2517</v>
      </c>
      <c r="C694" s="91">
        <f aca="true" t="shared" si="152" ref="C694:H694">+C695+C697+C699</f>
        <v>3502184616</v>
      </c>
      <c r="D694" s="91">
        <f t="shared" si="152"/>
        <v>1329976823</v>
      </c>
      <c r="E694" s="91">
        <f t="shared" si="152"/>
        <v>284390397</v>
      </c>
      <c r="F694" s="91">
        <f t="shared" si="152"/>
        <v>2456598190</v>
      </c>
      <c r="G694" s="91">
        <f t="shared" si="152"/>
        <v>0</v>
      </c>
      <c r="H694" s="25">
        <f t="shared" si="152"/>
        <v>2456598190</v>
      </c>
    </row>
    <row r="695" spans="1:8" s="15" customFormat="1" ht="12">
      <c r="A695" s="32">
        <v>912000</v>
      </c>
      <c r="B695" s="33" t="s">
        <v>2518</v>
      </c>
      <c r="C695" s="91">
        <f aca="true" t="shared" si="153" ref="C695:H695">+C696</f>
        <v>3311159166</v>
      </c>
      <c r="D695" s="91">
        <f t="shared" si="153"/>
        <v>1329721578</v>
      </c>
      <c r="E695" s="91">
        <f t="shared" si="153"/>
        <v>0</v>
      </c>
      <c r="F695" s="91">
        <f t="shared" si="153"/>
        <v>1981437588</v>
      </c>
      <c r="G695" s="91">
        <f t="shared" si="153"/>
        <v>0</v>
      </c>
      <c r="H695" s="25">
        <f t="shared" si="153"/>
        <v>1981437588</v>
      </c>
    </row>
    <row r="696" spans="1:8" ht="12">
      <c r="A696" s="34">
        <v>912002</v>
      </c>
      <c r="B696" s="35" t="s">
        <v>2519</v>
      </c>
      <c r="C696" s="95">
        <v>3311159166</v>
      </c>
      <c r="D696" s="250">
        <v>1329721578</v>
      </c>
      <c r="E696" s="250">
        <v>0</v>
      </c>
      <c r="F696" s="251">
        <f>+C696-D696+E696</f>
        <v>1981437588</v>
      </c>
      <c r="G696" s="251">
        <v>0</v>
      </c>
      <c r="H696" s="256">
        <f>+F696</f>
        <v>1981437588</v>
      </c>
    </row>
    <row r="697" spans="1:8" ht="12">
      <c r="A697" s="32">
        <v>913500</v>
      </c>
      <c r="B697" s="33" t="s">
        <v>2520</v>
      </c>
      <c r="C697" s="91">
        <f>+C698</f>
        <v>191025450</v>
      </c>
      <c r="D697" s="251">
        <f>D698</f>
        <v>255245</v>
      </c>
      <c r="E697" s="251">
        <f>E698</f>
        <v>284390397</v>
      </c>
      <c r="F697" s="251">
        <f>F698</f>
        <v>475160602</v>
      </c>
      <c r="G697" s="251">
        <f>G698</f>
        <v>0</v>
      </c>
      <c r="H697" s="256">
        <f>H698</f>
        <v>475160602</v>
      </c>
    </row>
    <row r="698" spans="1:8" s="15" customFormat="1" ht="12">
      <c r="A698" s="34">
        <v>913503</v>
      </c>
      <c r="B698" s="35" t="s">
        <v>2521</v>
      </c>
      <c r="C698" s="95">
        <v>191025450</v>
      </c>
      <c r="D698" s="250">
        <v>255245</v>
      </c>
      <c r="E698" s="250">
        <f>284243633+146764</f>
        <v>284390397</v>
      </c>
      <c r="F698" s="251">
        <f>+C698-D698+E698</f>
        <v>475160602</v>
      </c>
      <c r="G698" s="251">
        <v>0</v>
      </c>
      <c r="H698" s="256">
        <f>+F698</f>
        <v>475160602</v>
      </c>
    </row>
    <row r="699" spans="1:8" s="15" customFormat="1" ht="24">
      <c r="A699" s="32">
        <v>919000</v>
      </c>
      <c r="B699" s="33" t="s">
        <v>2522</v>
      </c>
      <c r="C699" s="91">
        <f>+C700</f>
        <v>0</v>
      </c>
      <c r="D699" s="251">
        <f>D700</f>
        <v>0</v>
      </c>
      <c r="E699" s="251">
        <f>E700</f>
        <v>0</v>
      </c>
      <c r="F699" s="251">
        <f>F700</f>
        <v>0</v>
      </c>
      <c r="G699" s="251">
        <f>G700</f>
        <v>0</v>
      </c>
      <c r="H699" s="256">
        <f>H700</f>
        <v>0</v>
      </c>
    </row>
    <row r="700" spans="1:8" s="15" customFormat="1" ht="12">
      <c r="A700" s="34">
        <v>919090</v>
      </c>
      <c r="B700" s="35" t="s">
        <v>2523</v>
      </c>
      <c r="C700" s="95">
        <v>0</v>
      </c>
      <c r="D700" s="250">
        <v>0</v>
      </c>
      <c r="E700" s="250">
        <v>0</v>
      </c>
      <c r="F700" s="251">
        <f>+C700-D700+E700</f>
        <v>0</v>
      </c>
      <c r="G700" s="251">
        <v>0</v>
      </c>
      <c r="H700" s="256">
        <f>+F700</f>
        <v>0</v>
      </c>
    </row>
    <row r="701" spans="1:8" ht="12">
      <c r="A701" s="32">
        <v>930000</v>
      </c>
      <c r="B701" s="33" t="s">
        <v>2524</v>
      </c>
      <c r="C701" s="91">
        <f>+C702+C706</f>
        <v>903341</v>
      </c>
      <c r="D701" s="251">
        <f>D702+D706</f>
        <v>26718958</v>
      </c>
      <c r="E701" s="251">
        <f>E702+E706</f>
        <v>26706372</v>
      </c>
      <c r="F701" s="251">
        <f>F702+F706</f>
        <v>890755</v>
      </c>
      <c r="G701" s="251">
        <f>G702+G706</f>
        <v>0</v>
      </c>
      <c r="H701" s="256">
        <f>H702+H706</f>
        <v>890755</v>
      </c>
    </row>
    <row r="702" spans="1:8" ht="12">
      <c r="A702" s="32">
        <v>934600</v>
      </c>
      <c r="B702" s="33" t="s">
        <v>2525</v>
      </c>
      <c r="C702" s="91">
        <f>+C703+C704+C705</f>
        <v>890755</v>
      </c>
      <c r="D702" s="251">
        <f>SUM(D703:D705)</f>
        <v>0</v>
      </c>
      <c r="E702" s="251">
        <f>SUM(E703:E705)</f>
        <v>0</v>
      </c>
      <c r="F702" s="251">
        <f>SUM(F703:F705)</f>
        <v>890755</v>
      </c>
      <c r="G702" s="251">
        <f>SUM(G703:G705)</f>
        <v>0</v>
      </c>
      <c r="H702" s="256">
        <f>SUM(H703:H705)</f>
        <v>890755</v>
      </c>
    </row>
    <row r="703" spans="1:8" s="15" customFormat="1" ht="12">
      <c r="A703" s="34">
        <v>934606</v>
      </c>
      <c r="B703" s="35" t="s">
        <v>840</v>
      </c>
      <c r="C703" s="95">
        <v>823218</v>
      </c>
      <c r="D703" s="250">
        <v>0</v>
      </c>
      <c r="E703" s="250">
        <v>0</v>
      </c>
      <c r="F703" s="251">
        <f>+C703-D703+E703</f>
        <v>823218</v>
      </c>
      <c r="G703" s="251">
        <v>0</v>
      </c>
      <c r="H703" s="256">
        <f>+F703</f>
        <v>823218</v>
      </c>
    </row>
    <row r="704" spans="1:8" ht="12">
      <c r="A704" s="34">
        <v>934612</v>
      </c>
      <c r="B704" s="35" t="s">
        <v>3521</v>
      </c>
      <c r="C704" s="95">
        <v>67537</v>
      </c>
      <c r="D704" s="250">
        <v>0</v>
      </c>
      <c r="E704" s="250">
        <v>0</v>
      </c>
      <c r="F704" s="251">
        <f>+C704-D704+E704</f>
        <v>67537</v>
      </c>
      <c r="G704" s="251">
        <v>0</v>
      </c>
      <c r="H704" s="256">
        <f>+F704</f>
        <v>67537</v>
      </c>
    </row>
    <row r="705" spans="1:8" ht="24">
      <c r="A705" s="34">
        <v>934613</v>
      </c>
      <c r="B705" s="35" t="s">
        <v>906</v>
      </c>
      <c r="C705" s="95">
        <v>0</v>
      </c>
      <c r="D705" s="250">
        <v>0</v>
      </c>
      <c r="E705" s="250">
        <v>0</v>
      </c>
      <c r="F705" s="251">
        <f>+C705-D705+E705</f>
        <v>0</v>
      </c>
      <c r="G705" s="251">
        <v>0</v>
      </c>
      <c r="H705" s="256">
        <f>+F705</f>
        <v>0</v>
      </c>
    </row>
    <row r="706" spans="1:8" s="15" customFormat="1" ht="24">
      <c r="A706" s="32">
        <v>939000</v>
      </c>
      <c r="B706" s="33" t="s">
        <v>2526</v>
      </c>
      <c r="C706" s="91">
        <f>+C707+C708</f>
        <v>12586</v>
      </c>
      <c r="D706" s="251">
        <f>SUM(D707:D708)</f>
        <v>26718958</v>
      </c>
      <c r="E706" s="251">
        <f>SUM(E707:E708)</f>
        <v>26706372</v>
      </c>
      <c r="F706" s="251">
        <f>SUM(F707:F708)</f>
        <v>0</v>
      </c>
      <c r="G706" s="251">
        <f>SUM(G707:G708)</f>
        <v>0</v>
      </c>
      <c r="H706" s="256">
        <f>SUM(H707:H708)</f>
        <v>0</v>
      </c>
    </row>
    <row r="707" spans="1:8" ht="12">
      <c r="A707" s="34">
        <v>939002</v>
      </c>
      <c r="B707" s="35" t="s">
        <v>2527</v>
      </c>
      <c r="C707" s="95">
        <v>12586</v>
      </c>
      <c r="D707" s="250">
        <f>26712758</f>
        <v>26712758</v>
      </c>
      <c r="E707" s="250">
        <v>26700172</v>
      </c>
      <c r="F707" s="251">
        <f>+C707-D707+E707</f>
        <v>0</v>
      </c>
      <c r="G707" s="251">
        <v>0</v>
      </c>
      <c r="H707" s="256">
        <f>+F707</f>
        <v>0</v>
      </c>
    </row>
    <row r="708" spans="1:8" ht="12">
      <c r="A708" s="34">
        <v>939090</v>
      </c>
      <c r="B708" s="35" t="s">
        <v>2528</v>
      </c>
      <c r="C708" s="95">
        <v>0</v>
      </c>
      <c r="D708" s="250">
        <v>6200</v>
      </c>
      <c r="E708" s="250">
        <v>6200</v>
      </c>
      <c r="F708" s="251">
        <f>+C708-D708+E708</f>
        <v>0</v>
      </c>
      <c r="G708" s="251">
        <v>0</v>
      </c>
      <c r="H708" s="256">
        <f>+F708</f>
        <v>0</v>
      </c>
    </row>
    <row r="709" spans="1:8" s="15" customFormat="1" ht="12">
      <c r="A709" s="32">
        <v>990000</v>
      </c>
      <c r="B709" s="33" t="s">
        <v>2529</v>
      </c>
      <c r="C709" s="91">
        <f>+C710+C714</f>
        <v>-3503087957</v>
      </c>
      <c r="D709" s="251">
        <f>D710+D714</f>
        <v>311096769</v>
      </c>
      <c r="E709" s="251">
        <f>E710+E714</f>
        <v>1356695781</v>
      </c>
      <c r="F709" s="251">
        <f>F710+F714</f>
        <v>-2457488945</v>
      </c>
      <c r="G709" s="251">
        <f>G710+G714</f>
        <v>0</v>
      </c>
      <c r="H709" s="256">
        <f>H710+H714</f>
        <v>-2457488945</v>
      </c>
    </row>
    <row r="710" spans="1:8" ht="24">
      <c r="A710" s="32">
        <v>990500</v>
      </c>
      <c r="B710" s="33" t="s">
        <v>2530</v>
      </c>
      <c r="C710" s="91">
        <f>+C711+C712+C713</f>
        <v>-3502184616</v>
      </c>
      <c r="D710" s="251">
        <f>SUM(D711:D713)</f>
        <v>284390397</v>
      </c>
      <c r="E710" s="251">
        <f>SUM(E711:E713)</f>
        <v>1329976823</v>
      </c>
      <c r="F710" s="251">
        <f>SUM(F711:F713)</f>
        <v>-2456598190</v>
      </c>
      <c r="G710" s="251">
        <f>SUM(G711:G713)</f>
        <v>0</v>
      </c>
      <c r="H710" s="256">
        <f>SUM(H711:H713)</f>
        <v>-2456598190</v>
      </c>
    </row>
    <row r="711" spans="1:8" ht="12">
      <c r="A711" s="34">
        <v>990505</v>
      </c>
      <c r="B711" s="35" t="s">
        <v>2531</v>
      </c>
      <c r="C711" s="95">
        <v>-3311159166</v>
      </c>
      <c r="D711" s="250">
        <v>0</v>
      </c>
      <c r="E711" s="250">
        <v>1329721578</v>
      </c>
      <c r="F711" s="251">
        <f>+C711-D711+E711</f>
        <v>-1981437588</v>
      </c>
      <c r="G711" s="251">
        <v>0</v>
      </c>
      <c r="H711" s="256">
        <f>+F711</f>
        <v>-1981437588</v>
      </c>
    </row>
    <row r="712" spans="1:8" s="15" customFormat="1" ht="12">
      <c r="A712" s="34">
        <v>990508</v>
      </c>
      <c r="B712" s="35" t="s">
        <v>2532</v>
      </c>
      <c r="C712" s="95">
        <v>-191025450</v>
      </c>
      <c r="D712" s="250">
        <f>284243633+146764</f>
        <v>284390397</v>
      </c>
      <c r="E712" s="250">
        <v>255245</v>
      </c>
      <c r="F712" s="251">
        <f>+C712-D712+E712</f>
        <v>-475160602</v>
      </c>
      <c r="G712" s="251">
        <v>0</v>
      </c>
      <c r="H712" s="256">
        <f>+F712</f>
        <v>-475160602</v>
      </c>
    </row>
    <row r="713" spans="1:8" ht="12">
      <c r="A713" s="34">
        <v>990590</v>
      </c>
      <c r="B713" s="35" t="s">
        <v>2528</v>
      </c>
      <c r="C713" s="95">
        <v>0</v>
      </c>
      <c r="D713" s="250">
        <v>0</v>
      </c>
      <c r="E713" s="250">
        <v>0</v>
      </c>
      <c r="F713" s="251">
        <f>+C713-D713+E713</f>
        <v>0</v>
      </c>
      <c r="G713" s="251">
        <v>0</v>
      </c>
      <c r="H713" s="256">
        <f>+F713</f>
        <v>0</v>
      </c>
    </row>
    <row r="714" spans="1:8" s="15" customFormat="1" ht="24">
      <c r="A714" s="32">
        <v>991500</v>
      </c>
      <c r="B714" s="33" t="s">
        <v>2530</v>
      </c>
      <c r="C714" s="91">
        <f>+C715+C716</f>
        <v>-903341</v>
      </c>
      <c r="D714" s="251">
        <f>SUM(D715:D716)</f>
        <v>26706372</v>
      </c>
      <c r="E714" s="251">
        <f>SUM(E715:E716)</f>
        <v>26718958</v>
      </c>
      <c r="F714" s="251">
        <f>SUM(F715:F716)</f>
        <v>-890755</v>
      </c>
      <c r="G714" s="251">
        <f>SUM(G715:G716)</f>
        <v>0</v>
      </c>
      <c r="H714" s="256">
        <f>SUM(H715:H716)</f>
        <v>-890755</v>
      </c>
    </row>
    <row r="715" spans="1:8" ht="12">
      <c r="A715" s="34">
        <v>991506</v>
      </c>
      <c r="B715" s="35" t="s">
        <v>2533</v>
      </c>
      <c r="C715" s="95">
        <v>-890755</v>
      </c>
      <c r="D715" s="250">
        <v>0</v>
      </c>
      <c r="E715" s="250">
        <v>0</v>
      </c>
      <c r="F715" s="251">
        <f>+C715-D715+E715</f>
        <v>-890755</v>
      </c>
      <c r="G715" s="251">
        <v>0</v>
      </c>
      <c r="H715" s="256">
        <f>+F715</f>
        <v>-890755</v>
      </c>
    </row>
    <row r="716" spans="1:8" s="15" customFormat="1" ht="12">
      <c r="A716" s="34">
        <v>991590</v>
      </c>
      <c r="B716" s="35" t="s">
        <v>2528</v>
      </c>
      <c r="C716" s="95">
        <v>-12586</v>
      </c>
      <c r="D716" s="250">
        <v>26706372</v>
      </c>
      <c r="E716" s="250">
        <v>26718958</v>
      </c>
      <c r="F716" s="251">
        <f>+C716-D716+E716</f>
        <v>0</v>
      </c>
      <c r="G716" s="251">
        <v>0</v>
      </c>
      <c r="H716" s="256">
        <f>+F716</f>
        <v>0</v>
      </c>
    </row>
    <row r="717" spans="1:8" ht="24">
      <c r="A717" s="36">
        <v>0</v>
      </c>
      <c r="B717" s="37" t="s">
        <v>2534</v>
      </c>
      <c r="C717" s="248">
        <f>+C718+C739+C853+C876+C892+C895+C898</f>
        <v>0</v>
      </c>
      <c r="D717" s="251">
        <f>D718+D739+D853+D876+D892+D895+D898</f>
        <v>13701175725</v>
      </c>
      <c r="E717" s="251">
        <f>E718+E739+E853+E876+E892+E895+E898</f>
        <v>13701175728</v>
      </c>
      <c r="F717" s="251">
        <f>F718+F739+F853+F876+F892+F895+F898</f>
        <v>0</v>
      </c>
      <c r="G717" s="251">
        <f>G718+G739+G853+G876+G892+G895+G898</f>
        <v>0</v>
      </c>
      <c r="H717" s="256">
        <f>H718+H739+H853+H876+H892+H895+H898</f>
        <v>0</v>
      </c>
    </row>
    <row r="718" spans="1:8" s="15" customFormat="1" ht="12">
      <c r="A718" s="36">
        <v>20000</v>
      </c>
      <c r="B718" s="37" t="s">
        <v>2535</v>
      </c>
      <c r="C718" s="248">
        <f>+C719+C722+C725+C728+C731+C733+C735+C737</f>
        <v>0</v>
      </c>
      <c r="D718" s="251">
        <f>D719+D722+D725+D728+D731+D733+D735+D737</f>
        <v>0</v>
      </c>
      <c r="E718" s="251">
        <f>E719+E722+E725+E728+E731+E733+E735+E737</f>
        <v>0</v>
      </c>
      <c r="F718" s="251">
        <f>F719+F722+F725+F728+F731+F733+F735+F737</f>
        <v>0</v>
      </c>
      <c r="G718" s="251">
        <f>G719+G722+G725+G728+G731+G733+G735+G737</f>
        <v>0</v>
      </c>
      <c r="H718" s="256">
        <f>H719+H722+H725+H728+H731+H733+H735+H737</f>
        <v>0</v>
      </c>
    </row>
    <row r="719" spans="1:8" ht="12">
      <c r="A719" s="36">
        <v>20100</v>
      </c>
      <c r="B719" s="37" t="s">
        <v>2536</v>
      </c>
      <c r="C719" s="248">
        <f>+C720+C721</f>
        <v>0</v>
      </c>
      <c r="D719" s="250">
        <v>0</v>
      </c>
      <c r="E719" s="250">
        <v>0</v>
      </c>
      <c r="F719" s="251">
        <f>SUM(F720:F721)</f>
        <v>0</v>
      </c>
      <c r="G719" s="251">
        <f>SUM(G720:G721)</f>
        <v>0</v>
      </c>
      <c r="H719" s="256">
        <f>SUM(H720:H721)</f>
        <v>0</v>
      </c>
    </row>
    <row r="720" spans="1:8" s="15" customFormat="1" ht="12">
      <c r="A720" s="38">
        <v>20147</v>
      </c>
      <c r="B720" s="39" t="s">
        <v>2537</v>
      </c>
      <c r="C720" s="249">
        <v>0</v>
      </c>
      <c r="D720" s="250">
        <v>0</v>
      </c>
      <c r="E720" s="250">
        <v>0</v>
      </c>
      <c r="F720" s="251">
        <f>+C720-D720+E720</f>
        <v>0</v>
      </c>
      <c r="G720" s="251">
        <v>0</v>
      </c>
      <c r="H720" s="256">
        <f>+F720</f>
        <v>0</v>
      </c>
    </row>
    <row r="721" spans="1:8" s="15" customFormat="1" ht="12">
      <c r="A721" s="38">
        <v>20160</v>
      </c>
      <c r="B721" s="39" t="s">
        <v>2538</v>
      </c>
      <c r="C721" s="249">
        <v>0</v>
      </c>
      <c r="D721" s="250">
        <v>0</v>
      </c>
      <c r="E721" s="250">
        <v>0</v>
      </c>
      <c r="F721" s="251">
        <f>+C721-D721+E721</f>
        <v>0</v>
      </c>
      <c r="G721" s="251">
        <v>0</v>
      </c>
      <c r="H721" s="256">
        <f>+F721</f>
        <v>0</v>
      </c>
    </row>
    <row r="722" spans="1:8" ht="12">
      <c r="A722" s="36">
        <v>20600</v>
      </c>
      <c r="B722" s="37" t="s">
        <v>2539</v>
      </c>
      <c r="C722" s="248">
        <f>+C723+C724</f>
        <v>0</v>
      </c>
      <c r="D722" s="250">
        <v>0</v>
      </c>
      <c r="E722" s="250">
        <v>0</v>
      </c>
      <c r="F722" s="251">
        <f>SUM(F723:F724)</f>
        <v>0</v>
      </c>
      <c r="G722" s="251">
        <f>SUM(G723:G724)</f>
        <v>0</v>
      </c>
      <c r="H722" s="256">
        <f>SUM(H723:H724)</f>
        <v>0</v>
      </c>
    </row>
    <row r="723" spans="1:8" ht="12">
      <c r="A723" s="38">
        <v>20647</v>
      </c>
      <c r="B723" s="39" t="s">
        <v>2537</v>
      </c>
      <c r="C723" s="249">
        <v>0</v>
      </c>
      <c r="D723" s="250">
        <v>0</v>
      </c>
      <c r="E723" s="250">
        <v>0</v>
      </c>
      <c r="F723" s="251">
        <f>+C723-D723+E723</f>
        <v>0</v>
      </c>
      <c r="G723" s="251">
        <v>0</v>
      </c>
      <c r="H723" s="256">
        <f>+F723</f>
        <v>0</v>
      </c>
    </row>
    <row r="724" spans="1:8" ht="12">
      <c r="A724" s="38">
        <v>20660</v>
      </c>
      <c r="B724" s="39" t="s">
        <v>2538</v>
      </c>
      <c r="C724" s="249">
        <v>0</v>
      </c>
      <c r="D724" s="250">
        <v>0</v>
      </c>
      <c r="E724" s="250">
        <v>0</v>
      </c>
      <c r="F724" s="251">
        <f>+C724-D724+E724</f>
        <v>0</v>
      </c>
      <c r="G724" s="251">
        <v>0</v>
      </c>
      <c r="H724" s="256">
        <f>+F724</f>
        <v>0</v>
      </c>
    </row>
    <row r="725" spans="1:8" ht="12">
      <c r="A725" s="36">
        <v>21100</v>
      </c>
      <c r="B725" s="37" t="s">
        <v>2540</v>
      </c>
      <c r="C725" s="248">
        <f>+C726+C727</f>
        <v>0</v>
      </c>
      <c r="D725" s="250">
        <v>0</v>
      </c>
      <c r="E725" s="250">
        <v>0</v>
      </c>
      <c r="F725" s="251">
        <f>SUM(F726:F727)</f>
        <v>0</v>
      </c>
      <c r="G725" s="251">
        <f>SUM(G726:G727)</f>
        <v>0</v>
      </c>
      <c r="H725" s="256">
        <f>SUM(H726:H727)</f>
        <v>0</v>
      </c>
    </row>
    <row r="726" spans="1:8" ht="12">
      <c r="A726" s="38">
        <v>21147</v>
      </c>
      <c r="B726" s="39" t="s">
        <v>2537</v>
      </c>
      <c r="C726" s="249">
        <v>0</v>
      </c>
      <c r="D726" s="250">
        <v>0</v>
      </c>
      <c r="E726" s="250">
        <v>0</v>
      </c>
      <c r="F726" s="251">
        <f>+C726-D726+E726</f>
        <v>0</v>
      </c>
      <c r="G726" s="251">
        <v>0</v>
      </c>
      <c r="H726" s="256">
        <f>+F726</f>
        <v>0</v>
      </c>
    </row>
    <row r="727" spans="1:8" ht="12">
      <c r="A727" s="38">
        <v>21160</v>
      </c>
      <c r="B727" s="39" t="s">
        <v>2538</v>
      </c>
      <c r="C727" s="249">
        <v>0</v>
      </c>
      <c r="D727" s="250">
        <v>0</v>
      </c>
      <c r="E727" s="250">
        <v>0</v>
      </c>
      <c r="F727" s="251">
        <f>+C727-D727+E727</f>
        <v>0</v>
      </c>
      <c r="G727" s="251">
        <v>0</v>
      </c>
      <c r="H727" s="256">
        <f>+F727</f>
        <v>0</v>
      </c>
    </row>
    <row r="728" spans="1:8" ht="12">
      <c r="A728" s="36">
        <v>24100</v>
      </c>
      <c r="B728" s="37" t="s">
        <v>2541</v>
      </c>
      <c r="C728" s="248">
        <f>+C729+C730</f>
        <v>0</v>
      </c>
      <c r="D728" s="250">
        <v>0</v>
      </c>
      <c r="E728" s="250">
        <v>0</v>
      </c>
      <c r="F728" s="251">
        <f>SUM(F729:F730)</f>
        <v>0</v>
      </c>
      <c r="G728" s="251">
        <f>SUM(G729:G730)</f>
        <v>0</v>
      </c>
      <c r="H728" s="256">
        <f>SUM(H729:H730)</f>
        <v>0</v>
      </c>
    </row>
    <row r="729" spans="1:8" ht="12">
      <c r="A729" s="38">
        <v>24102</v>
      </c>
      <c r="B729" s="39" t="s">
        <v>2542</v>
      </c>
      <c r="C729" s="249">
        <v>0</v>
      </c>
      <c r="D729" s="250">
        <v>0</v>
      </c>
      <c r="E729" s="250">
        <v>0</v>
      </c>
      <c r="F729" s="251">
        <f>+C729-D729+E729</f>
        <v>0</v>
      </c>
      <c r="G729" s="251">
        <v>0</v>
      </c>
      <c r="H729" s="256">
        <f>+F729</f>
        <v>0</v>
      </c>
    </row>
    <row r="730" spans="1:8" ht="12">
      <c r="A730" s="38">
        <v>24108</v>
      </c>
      <c r="B730" s="39" t="s">
        <v>2543</v>
      </c>
      <c r="C730" s="249">
        <v>0</v>
      </c>
      <c r="D730" s="250">
        <v>0</v>
      </c>
      <c r="E730" s="250">
        <v>0</v>
      </c>
      <c r="F730" s="251">
        <f>+C730-D730+E730</f>
        <v>0</v>
      </c>
      <c r="G730" s="251">
        <v>0</v>
      </c>
      <c r="H730" s="256">
        <f>+F730</f>
        <v>0</v>
      </c>
    </row>
    <row r="731" spans="1:8" ht="24">
      <c r="A731" s="36">
        <v>24600</v>
      </c>
      <c r="B731" s="37" t="s">
        <v>2544</v>
      </c>
      <c r="C731" s="248">
        <f>+C732</f>
        <v>0</v>
      </c>
      <c r="D731" s="250">
        <v>0</v>
      </c>
      <c r="E731" s="250">
        <v>0</v>
      </c>
      <c r="F731" s="251">
        <f>F732</f>
        <v>0</v>
      </c>
      <c r="G731" s="251">
        <f>G732</f>
        <v>0</v>
      </c>
      <c r="H731" s="256">
        <f>H732</f>
        <v>0</v>
      </c>
    </row>
    <row r="732" spans="1:8" ht="12">
      <c r="A732" s="38">
        <v>24647</v>
      </c>
      <c r="B732" s="39" t="s">
        <v>2537</v>
      </c>
      <c r="C732" s="249">
        <v>0</v>
      </c>
      <c r="D732" s="250">
        <v>0</v>
      </c>
      <c r="E732" s="250">
        <v>0</v>
      </c>
      <c r="F732" s="251">
        <f>+C732-D732+E732</f>
        <v>0</v>
      </c>
      <c r="G732" s="251">
        <v>0</v>
      </c>
      <c r="H732" s="256">
        <f>+F732</f>
        <v>0</v>
      </c>
    </row>
    <row r="733" spans="1:8" ht="24">
      <c r="A733" s="36">
        <v>25100</v>
      </c>
      <c r="B733" s="37" t="s">
        <v>2545</v>
      </c>
      <c r="C733" s="248">
        <f>+C734</f>
        <v>0</v>
      </c>
      <c r="D733" s="250">
        <v>0</v>
      </c>
      <c r="E733" s="250">
        <v>0</v>
      </c>
      <c r="F733" s="251">
        <f>F734</f>
        <v>0</v>
      </c>
      <c r="G733" s="251">
        <f>G734</f>
        <v>0</v>
      </c>
      <c r="H733" s="256">
        <f>H734</f>
        <v>0</v>
      </c>
    </row>
    <row r="734" spans="1:8" ht="12">
      <c r="A734" s="38">
        <v>25102</v>
      </c>
      <c r="B734" s="39" t="s">
        <v>2542</v>
      </c>
      <c r="C734" s="249">
        <v>0</v>
      </c>
      <c r="D734" s="250">
        <v>0</v>
      </c>
      <c r="E734" s="250">
        <v>0</v>
      </c>
      <c r="F734" s="251">
        <f>+C734-D734+E734</f>
        <v>0</v>
      </c>
      <c r="G734" s="251">
        <v>0</v>
      </c>
      <c r="H734" s="256">
        <f>+F734</f>
        <v>0</v>
      </c>
    </row>
    <row r="735" spans="1:8" ht="24">
      <c r="A735" s="36">
        <v>25600</v>
      </c>
      <c r="B735" s="37" t="s">
        <v>2546</v>
      </c>
      <c r="C735" s="248">
        <f>+C736</f>
        <v>0</v>
      </c>
      <c r="D735" s="250">
        <v>0</v>
      </c>
      <c r="E735" s="250">
        <v>0</v>
      </c>
      <c r="F735" s="251">
        <f>F736</f>
        <v>0</v>
      </c>
      <c r="G735" s="251">
        <f>G736</f>
        <v>0</v>
      </c>
      <c r="H735" s="256">
        <f>H736</f>
        <v>0</v>
      </c>
    </row>
    <row r="736" spans="1:8" ht="12">
      <c r="A736" s="38">
        <v>25602</v>
      </c>
      <c r="B736" s="39" t="s">
        <v>2537</v>
      </c>
      <c r="C736" s="249">
        <v>0</v>
      </c>
      <c r="D736" s="250">
        <v>0</v>
      </c>
      <c r="E736" s="250">
        <v>0</v>
      </c>
      <c r="F736" s="251">
        <f>+C736-D736+E736</f>
        <v>0</v>
      </c>
      <c r="G736" s="251">
        <v>0</v>
      </c>
      <c r="H736" s="256">
        <f>+F736</f>
        <v>0</v>
      </c>
    </row>
    <row r="737" spans="1:8" ht="24">
      <c r="A737" s="36">
        <v>26100</v>
      </c>
      <c r="B737" s="37" t="s">
        <v>2544</v>
      </c>
      <c r="C737" s="248">
        <f>+C738</f>
        <v>0</v>
      </c>
      <c r="D737" s="250">
        <v>0</v>
      </c>
      <c r="E737" s="250">
        <v>0</v>
      </c>
      <c r="F737" s="251">
        <f>F738</f>
        <v>0</v>
      </c>
      <c r="G737" s="251">
        <f>G738</f>
        <v>0</v>
      </c>
      <c r="H737" s="256">
        <f>H738</f>
        <v>0</v>
      </c>
    </row>
    <row r="738" spans="1:8" ht="12">
      <c r="A738" s="38">
        <v>26102</v>
      </c>
      <c r="B738" s="39" t="s">
        <v>2537</v>
      </c>
      <c r="C738" s="249">
        <v>0</v>
      </c>
      <c r="D738" s="250">
        <v>0</v>
      </c>
      <c r="E738" s="250">
        <v>0</v>
      </c>
      <c r="F738" s="251">
        <f>+C738-D738+E738</f>
        <v>0</v>
      </c>
      <c r="G738" s="251">
        <v>0</v>
      </c>
      <c r="H738" s="256">
        <f>+F738</f>
        <v>0</v>
      </c>
    </row>
    <row r="739" spans="1:8" ht="24">
      <c r="A739" s="36">
        <v>30000</v>
      </c>
      <c r="B739" s="21" t="s">
        <v>2547</v>
      </c>
      <c r="C739" s="248">
        <f>+C740+C758+C777+C796+C815+C834</f>
        <v>0</v>
      </c>
      <c r="D739" s="251">
        <f>D740+D758+D777+D796+D815+D834</f>
        <v>8638458196</v>
      </c>
      <c r="E739" s="251">
        <f>E740+E758+E777+E796+E815+E834</f>
        <v>8638458199</v>
      </c>
      <c r="F739" s="251">
        <f>F740+F758+F777+F796+F815+F834</f>
        <v>0</v>
      </c>
      <c r="G739" s="251">
        <f>G740+G758+G777+G796+G815+G834</f>
        <v>0</v>
      </c>
      <c r="H739" s="256">
        <f>H740+H758+H777+H796+H815+H834</f>
        <v>0</v>
      </c>
    </row>
    <row r="740" spans="1:8" s="15" customFormat="1" ht="12">
      <c r="A740" s="36">
        <v>30500</v>
      </c>
      <c r="B740" s="33" t="s">
        <v>2548</v>
      </c>
      <c r="C740" s="91">
        <f>+SUM(C741:C757)</f>
        <v>-13130348420</v>
      </c>
      <c r="D740" s="251">
        <f>SUM(D741:D757)</f>
        <v>64573840</v>
      </c>
      <c r="E740" s="251">
        <f>SUM(E741:E757)</f>
        <v>68381847</v>
      </c>
      <c r="F740" s="251">
        <f>SUM(F741:F757)</f>
        <v>-13134156427</v>
      </c>
      <c r="G740" s="251">
        <f>SUM(G741:G757)</f>
        <v>0</v>
      </c>
      <c r="H740" s="256">
        <f>SUM(H741:H757)</f>
        <v>-13134156427</v>
      </c>
    </row>
    <row r="741" spans="1:8" ht="24">
      <c r="A741" s="38">
        <v>30511</v>
      </c>
      <c r="B741" s="35" t="s">
        <v>2549</v>
      </c>
      <c r="C741" s="95">
        <v>-12330185</v>
      </c>
      <c r="D741" s="250">
        <v>0</v>
      </c>
      <c r="E741" s="250">
        <v>0</v>
      </c>
      <c r="F741" s="253">
        <f>+C741+D741-E741</f>
        <v>-12330185</v>
      </c>
      <c r="G741" s="251">
        <v>0</v>
      </c>
      <c r="H741" s="256">
        <f aca="true" t="shared" si="154" ref="H741:H757">+F741</f>
        <v>-12330185</v>
      </c>
    </row>
    <row r="742" spans="1:8" ht="12">
      <c r="A742" s="38">
        <v>30512</v>
      </c>
      <c r="B742" s="35" t="s">
        <v>2550</v>
      </c>
      <c r="C742" s="95">
        <v>-461555</v>
      </c>
      <c r="D742" s="250">
        <v>0</v>
      </c>
      <c r="E742" s="250">
        <f>624000+0.5+0.5+3</f>
        <v>624004</v>
      </c>
      <c r="F742" s="253">
        <f>+C742+D742-E742</f>
        <v>-1085559</v>
      </c>
      <c r="G742" s="251">
        <v>0</v>
      </c>
      <c r="H742" s="256">
        <f t="shared" si="154"/>
        <v>-1085559</v>
      </c>
    </row>
    <row r="743" spans="1:8" ht="24">
      <c r="A743" s="38">
        <v>30513</v>
      </c>
      <c r="B743" s="35" t="s">
        <v>2551</v>
      </c>
      <c r="C743" s="95">
        <v>-1104414</v>
      </c>
      <c r="D743" s="250">
        <v>0</v>
      </c>
      <c r="E743" s="250">
        <v>515000</v>
      </c>
      <c r="F743" s="253">
        <f>+C743+D743-E743</f>
        <v>-1619414</v>
      </c>
      <c r="G743" s="251">
        <v>0</v>
      </c>
      <c r="H743" s="256">
        <f t="shared" si="154"/>
        <v>-1619414</v>
      </c>
    </row>
    <row r="744" spans="1:8" ht="24">
      <c r="A744" s="38">
        <v>30514</v>
      </c>
      <c r="B744" s="35" t="s">
        <v>2552</v>
      </c>
      <c r="C744" s="95">
        <v>-2769782</v>
      </c>
      <c r="D744" s="250">
        <f>3284782-2254781</f>
        <v>1030001</v>
      </c>
      <c r="E744" s="250">
        <v>515000</v>
      </c>
      <c r="F744" s="253">
        <f>-2254782+1</f>
        <v>-2254781</v>
      </c>
      <c r="G744" s="251">
        <v>0</v>
      </c>
      <c r="H744" s="256">
        <f t="shared" si="154"/>
        <v>-2254781</v>
      </c>
    </row>
    <row r="745" spans="1:8" ht="12">
      <c r="A745" s="38">
        <v>30515</v>
      </c>
      <c r="B745" s="35" t="s">
        <v>2553</v>
      </c>
      <c r="C745" s="95">
        <v>-365721</v>
      </c>
      <c r="D745" s="250">
        <v>0</v>
      </c>
      <c r="E745" s="250">
        <f>193822-0.5+0.5</f>
        <v>193822</v>
      </c>
      <c r="F745" s="253">
        <f>-559544+1</f>
        <v>-559543</v>
      </c>
      <c r="G745" s="251">
        <v>0</v>
      </c>
      <c r="H745" s="256">
        <f t="shared" si="154"/>
        <v>-559543</v>
      </c>
    </row>
    <row r="746" spans="1:8" ht="12">
      <c r="A746" s="38">
        <v>30516</v>
      </c>
      <c r="B746" s="35" t="s">
        <v>2554</v>
      </c>
      <c r="C746" s="95">
        <v>-2188199</v>
      </c>
      <c r="D746" s="250">
        <f>2250524-2125877</f>
        <v>124647</v>
      </c>
      <c r="E746" s="250">
        <f>62324+0.5+0.5</f>
        <v>62325</v>
      </c>
      <c r="F746" s="253">
        <v>-2125877</v>
      </c>
      <c r="G746" s="251">
        <v>0</v>
      </c>
      <c r="H746" s="256">
        <f t="shared" si="154"/>
        <v>-2125877</v>
      </c>
    </row>
    <row r="747" spans="1:8" ht="12">
      <c r="A747" s="38">
        <v>30517</v>
      </c>
      <c r="B747" s="35" t="s">
        <v>2555</v>
      </c>
      <c r="C747" s="95">
        <v>-35725</v>
      </c>
      <c r="D747" s="250">
        <v>0</v>
      </c>
      <c r="E747" s="250">
        <v>85500</v>
      </c>
      <c r="F747" s="253">
        <f>+C747+D747-E747</f>
        <v>-121225</v>
      </c>
      <c r="G747" s="251">
        <v>0</v>
      </c>
      <c r="H747" s="256">
        <f t="shared" si="154"/>
        <v>-121225</v>
      </c>
    </row>
    <row r="748" spans="1:8" ht="12">
      <c r="A748" s="38" t="s">
        <v>2556</v>
      </c>
      <c r="B748" s="35" t="s">
        <v>2538</v>
      </c>
      <c r="C748" s="95">
        <v>-36118642</v>
      </c>
      <c r="D748" s="250">
        <v>0</v>
      </c>
      <c r="E748" s="250">
        <v>7687967</v>
      </c>
      <c r="F748" s="253">
        <f>+C748+D748-E748</f>
        <v>-43806609</v>
      </c>
      <c r="G748" s="251">
        <v>0</v>
      </c>
      <c r="H748" s="256">
        <f t="shared" si="154"/>
        <v>-43806609</v>
      </c>
    </row>
    <row r="749" spans="1:8" ht="12">
      <c r="A749" s="38">
        <v>30521</v>
      </c>
      <c r="B749" s="35" t="s">
        <v>2557</v>
      </c>
      <c r="C749" s="95">
        <v>-2238141</v>
      </c>
      <c r="D749" s="250">
        <v>0</v>
      </c>
      <c r="E749" s="250">
        <f>29164+0.5+0.5</f>
        <v>29165</v>
      </c>
      <c r="F749" s="253">
        <f>-2267305-1</f>
        <v>-2267306</v>
      </c>
      <c r="G749" s="251">
        <v>0</v>
      </c>
      <c r="H749" s="256">
        <f t="shared" si="154"/>
        <v>-2267306</v>
      </c>
    </row>
    <row r="750" spans="1:8" ht="24">
      <c r="A750" s="38">
        <v>30532</v>
      </c>
      <c r="B750" s="35" t="s">
        <v>2558</v>
      </c>
      <c r="C750" s="95">
        <v>-3942052</v>
      </c>
      <c r="D750" s="250">
        <v>0</v>
      </c>
      <c r="E750" s="250">
        <v>230000</v>
      </c>
      <c r="F750" s="253">
        <f>+C750+D750-E750</f>
        <v>-4172052</v>
      </c>
      <c r="G750" s="251">
        <v>0</v>
      </c>
      <c r="H750" s="256">
        <f t="shared" si="154"/>
        <v>-4172052</v>
      </c>
    </row>
    <row r="751" spans="1:8" ht="24">
      <c r="A751" s="38">
        <v>30534</v>
      </c>
      <c r="B751" s="35" t="s">
        <v>2559</v>
      </c>
      <c r="C751" s="95">
        <v>-807198</v>
      </c>
      <c r="D751" s="250">
        <v>0</v>
      </c>
      <c r="E751" s="250">
        <v>0</v>
      </c>
      <c r="F751" s="253">
        <f>+C751+D751-E751</f>
        <v>-807198</v>
      </c>
      <c r="G751" s="251">
        <v>0</v>
      </c>
      <c r="H751" s="256">
        <f t="shared" si="154"/>
        <v>-807198</v>
      </c>
    </row>
    <row r="752" spans="1:8" ht="24">
      <c r="A752" s="38">
        <v>30538</v>
      </c>
      <c r="B752" s="35" t="s">
        <v>2560</v>
      </c>
      <c r="C752" s="95">
        <v>-2070498547</v>
      </c>
      <c r="D752" s="250">
        <f>2098910147-2042086947-2</f>
        <v>56823198</v>
      </c>
      <c r="E752" s="250">
        <f>28411600</f>
        <v>28411600</v>
      </c>
      <c r="F752" s="253">
        <f>-2042086945-5+1</f>
        <v>-2042086949</v>
      </c>
      <c r="G752" s="251">
        <v>0</v>
      </c>
      <c r="H752" s="256">
        <f t="shared" si="154"/>
        <v>-2042086949</v>
      </c>
    </row>
    <row r="753" spans="1:8" ht="24">
      <c r="A753" s="38">
        <v>30543</v>
      </c>
      <c r="B753" s="35" t="s">
        <v>2561</v>
      </c>
      <c r="C753" s="95">
        <v>-6945579</v>
      </c>
      <c r="D753" s="250">
        <v>0</v>
      </c>
      <c r="E753" s="250">
        <v>2121946</v>
      </c>
      <c r="F753" s="253">
        <f>+C753+D753-E753</f>
        <v>-9067525</v>
      </c>
      <c r="G753" s="251">
        <v>0</v>
      </c>
      <c r="H753" s="256">
        <f t="shared" si="154"/>
        <v>-9067525</v>
      </c>
    </row>
    <row r="754" spans="1:8" ht="24">
      <c r="A754" s="38">
        <v>30544</v>
      </c>
      <c r="B754" s="35" t="s">
        <v>2562</v>
      </c>
      <c r="C754" s="95">
        <v>-5200000</v>
      </c>
      <c r="D754" s="250">
        <f>7780000-2620000-0.5+0.5</f>
        <v>5160000</v>
      </c>
      <c r="E754" s="250">
        <v>2580000</v>
      </c>
      <c r="F754" s="253">
        <f>+C754+D754-E754</f>
        <v>-2620000</v>
      </c>
      <c r="G754" s="251">
        <v>0</v>
      </c>
      <c r="H754" s="256">
        <f t="shared" si="154"/>
        <v>-2620000</v>
      </c>
    </row>
    <row r="755" spans="1:8" ht="12">
      <c r="A755" s="38">
        <v>30546</v>
      </c>
      <c r="B755" s="35" t="s">
        <v>2563</v>
      </c>
      <c r="C755" s="95">
        <v>-1447252826</v>
      </c>
      <c r="D755" s="250">
        <v>0</v>
      </c>
      <c r="E755" s="250">
        <v>24607521</v>
      </c>
      <c r="F755" s="253">
        <f>+C755+D755-E755</f>
        <v>-1471860347</v>
      </c>
      <c r="G755" s="251">
        <v>0</v>
      </c>
      <c r="H755" s="256">
        <f t="shared" si="154"/>
        <v>-1471860347</v>
      </c>
    </row>
    <row r="756" spans="1:8" ht="12">
      <c r="A756" s="38">
        <v>30558</v>
      </c>
      <c r="B756" s="35" t="s">
        <v>2564</v>
      </c>
      <c r="C756" s="95">
        <v>-367727709</v>
      </c>
      <c r="D756" s="250">
        <v>0</v>
      </c>
      <c r="E756" s="250">
        <v>0</v>
      </c>
      <c r="F756" s="253">
        <f>+C756+D756-E756</f>
        <v>-367727709</v>
      </c>
      <c r="G756" s="251">
        <v>0</v>
      </c>
      <c r="H756" s="256">
        <f t="shared" si="154"/>
        <v>-367727709</v>
      </c>
    </row>
    <row r="757" spans="1:8" ht="12">
      <c r="A757" s="38">
        <v>30591</v>
      </c>
      <c r="B757" s="35" t="s">
        <v>2565</v>
      </c>
      <c r="C757" s="95">
        <v>-9170362145</v>
      </c>
      <c r="D757" s="250">
        <f>9171080141-9169644147</f>
        <v>1435994</v>
      </c>
      <c r="E757" s="250">
        <v>717997</v>
      </c>
      <c r="F757" s="253">
        <f>+C757+D757-E757</f>
        <v>-9169644148</v>
      </c>
      <c r="G757" s="251">
        <v>0</v>
      </c>
      <c r="H757" s="256">
        <f t="shared" si="154"/>
        <v>-9169644148</v>
      </c>
    </row>
    <row r="758" spans="1:8" s="15" customFormat="1" ht="12">
      <c r="A758" s="36">
        <v>31000</v>
      </c>
      <c r="B758" s="33" t="s">
        <v>2566</v>
      </c>
      <c r="C758" s="91">
        <f>+SUM(C759:C776)</f>
        <v>1166906772</v>
      </c>
      <c r="D758" s="251">
        <f>SUM(D759:D776)</f>
        <v>1103077830</v>
      </c>
      <c r="E758" s="251">
        <f>SUM(E759:E776)</f>
        <v>2204978367</v>
      </c>
      <c r="F758" s="251">
        <f>SUM(F759:F776)</f>
        <v>65006235</v>
      </c>
      <c r="G758" s="251">
        <f>SUM(G759:G776)</f>
        <v>0</v>
      </c>
      <c r="H758" s="256">
        <f>SUM(H759:H776)</f>
        <v>65006235</v>
      </c>
    </row>
    <row r="759" spans="1:8" ht="12">
      <c r="A759" s="38">
        <v>31011</v>
      </c>
      <c r="B759" s="35" t="s">
        <v>2549</v>
      </c>
      <c r="C759" s="95">
        <v>281603</v>
      </c>
      <c r="D759" s="250">
        <v>358881</v>
      </c>
      <c r="E759" s="250">
        <v>0</v>
      </c>
      <c r="F759" s="253">
        <f>+C759+D759-E759</f>
        <v>640484</v>
      </c>
      <c r="G759" s="251">
        <v>0</v>
      </c>
      <c r="H759" s="256">
        <f aca="true" t="shared" si="155" ref="H759:H776">+F759</f>
        <v>640484</v>
      </c>
    </row>
    <row r="760" spans="1:8" ht="12">
      <c r="A760" s="38">
        <v>31012</v>
      </c>
      <c r="B760" s="35" t="s">
        <v>2550</v>
      </c>
      <c r="C760" s="95">
        <v>3633</v>
      </c>
      <c r="D760" s="250">
        <f>104407-0.5+0.5</f>
        <v>104407</v>
      </c>
      <c r="E760" s="250">
        <v>0</v>
      </c>
      <c r="F760" s="253">
        <f>+C760+D760-E760</f>
        <v>108040</v>
      </c>
      <c r="G760" s="251">
        <v>0</v>
      </c>
      <c r="H760" s="256">
        <f t="shared" si="155"/>
        <v>108040</v>
      </c>
    </row>
    <row r="761" spans="1:8" ht="24">
      <c r="A761" s="38">
        <v>31013</v>
      </c>
      <c r="B761" s="35" t="s">
        <v>2551</v>
      </c>
      <c r="C761" s="95">
        <v>0</v>
      </c>
      <c r="D761" s="250">
        <v>125358</v>
      </c>
      <c r="E761" s="250">
        <v>0</v>
      </c>
      <c r="F761" s="253">
        <f>+C761+D761-E761</f>
        <v>125358</v>
      </c>
      <c r="G761" s="251">
        <v>0</v>
      </c>
      <c r="H761" s="256">
        <f t="shared" si="155"/>
        <v>125358</v>
      </c>
    </row>
    <row r="762" spans="1:8" ht="24">
      <c r="A762" s="38">
        <v>31014</v>
      </c>
      <c r="B762" s="35" t="s">
        <v>2552</v>
      </c>
      <c r="C762" s="95">
        <v>515250</v>
      </c>
      <c r="D762" s="250">
        <v>272641</v>
      </c>
      <c r="E762" s="250">
        <f>787892-242609</f>
        <v>545283</v>
      </c>
      <c r="F762" s="253">
        <f>+C762+D762-E762</f>
        <v>242608</v>
      </c>
      <c r="G762" s="251">
        <v>0</v>
      </c>
      <c r="H762" s="256">
        <f t="shared" si="155"/>
        <v>242608</v>
      </c>
    </row>
    <row r="763" spans="1:8" ht="12">
      <c r="A763" s="38">
        <v>31015</v>
      </c>
      <c r="B763" s="35" t="s">
        <v>2553</v>
      </c>
      <c r="C763" s="95">
        <v>21495</v>
      </c>
      <c r="D763" s="250">
        <f>21495+0.5+0.5</f>
        <v>21496</v>
      </c>
      <c r="E763" s="250">
        <f>42991-1</f>
        <v>42990</v>
      </c>
      <c r="F763" s="251">
        <v>1</v>
      </c>
      <c r="G763" s="251">
        <v>0</v>
      </c>
      <c r="H763" s="256">
        <f t="shared" si="155"/>
        <v>1</v>
      </c>
    </row>
    <row r="764" spans="1:8" ht="12">
      <c r="A764" s="38">
        <v>31016</v>
      </c>
      <c r="B764" s="35" t="s">
        <v>2554</v>
      </c>
      <c r="C764" s="95">
        <v>491788</v>
      </c>
      <c r="D764" s="250">
        <f>455050-0.5+0.5</f>
        <v>455050</v>
      </c>
      <c r="E764" s="250">
        <f>946839-36738</f>
        <v>910101</v>
      </c>
      <c r="F764" s="253">
        <f aca="true" t="shared" si="156" ref="F764:F772">+C764+D764-E764</f>
        <v>36737</v>
      </c>
      <c r="G764" s="251">
        <v>0</v>
      </c>
      <c r="H764" s="256">
        <f t="shared" si="155"/>
        <v>36737</v>
      </c>
    </row>
    <row r="765" spans="1:8" ht="12">
      <c r="A765" s="38">
        <v>31017</v>
      </c>
      <c r="B765" s="35" t="s">
        <v>2555</v>
      </c>
      <c r="C765" s="95">
        <v>7343</v>
      </c>
      <c r="D765" s="250">
        <v>6080</v>
      </c>
      <c r="E765" s="250">
        <f>13424-1264</f>
        <v>12160</v>
      </c>
      <c r="F765" s="253">
        <f t="shared" si="156"/>
        <v>1263</v>
      </c>
      <c r="G765" s="251">
        <v>0</v>
      </c>
      <c r="H765" s="256">
        <f t="shared" si="155"/>
        <v>1263</v>
      </c>
    </row>
    <row r="766" spans="1:8" ht="12">
      <c r="A766" s="38">
        <v>31018</v>
      </c>
      <c r="B766" s="35" t="s">
        <v>2567</v>
      </c>
      <c r="C766" s="95">
        <v>0</v>
      </c>
      <c r="D766" s="250">
        <v>0</v>
      </c>
      <c r="E766" s="250">
        <v>0</v>
      </c>
      <c r="F766" s="253">
        <f t="shared" si="156"/>
        <v>0</v>
      </c>
      <c r="G766" s="251">
        <v>0</v>
      </c>
      <c r="H766" s="256">
        <f t="shared" si="155"/>
        <v>0</v>
      </c>
    </row>
    <row r="767" spans="1:8" ht="12">
      <c r="A767" s="38">
        <v>31020</v>
      </c>
      <c r="B767" s="35" t="s">
        <v>2538</v>
      </c>
      <c r="C767" s="95">
        <v>22481099</v>
      </c>
      <c r="D767" s="250">
        <v>21845176</v>
      </c>
      <c r="E767" s="250">
        <f>44326275-635921</f>
        <v>43690354</v>
      </c>
      <c r="F767" s="253">
        <f t="shared" si="156"/>
        <v>635921</v>
      </c>
      <c r="G767" s="251">
        <v>0</v>
      </c>
      <c r="H767" s="256">
        <f t="shared" si="155"/>
        <v>635921</v>
      </c>
    </row>
    <row r="768" spans="1:8" ht="12">
      <c r="A768" s="38">
        <v>31021</v>
      </c>
      <c r="B768" s="35" t="s">
        <v>2557</v>
      </c>
      <c r="C768" s="95">
        <v>255664</v>
      </c>
      <c r="D768" s="250">
        <f>212920-0.5+0.5</f>
        <v>212920</v>
      </c>
      <c r="E768" s="250">
        <f>468583-42748</f>
        <v>425835</v>
      </c>
      <c r="F768" s="253">
        <f t="shared" si="156"/>
        <v>42749</v>
      </c>
      <c r="G768" s="251">
        <v>0</v>
      </c>
      <c r="H768" s="256">
        <f t="shared" si="155"/>
        <v>42749</v>
      </c>
    </row>
    <row r="769" spans="1:8" ht="24">
      <c r="A769" s="38">
        <v>31032</v>
      </c>
      <c r="B769" s="35" t="s">
        <v>2558</v>
      </c>
      <c r="C769" s="95">
        <v>0</v>
      </c>
      <c r="D769" s="250">
        <v>0</v>
      </c>
      <c r="E769" s="250">
        <v>0</v>
      </c>
      <c r="F769" s="253">
        <f t="shared" si="156"/>
        <v>0</v>
      </c>
      <c r="G769" s="251">
        <v>0</v>
      </c>
      <c r="H769" s="256">
        <f t="shared" si="155"/>
        <v>0</v>
      </c>
    </row>
    <row r="770" spans="1:8" ht="24">
      <c r="A770" s="38">
        <v>31034</v>
      </c>
      <c r="B770" s="35" t="s">
        <v>2559</v>
      </c>
      <c r="C770" s="95">
        <v>171488</v>
      </c>
      <c r="D770" s="250">
        <v>0</v>
      </c>
      <c r="E770" s="250">
        <v>0</v>
      </c>
      <c r="F770" s="253">
        <f t="shared" si="156"/>
        <v>171488</v>
      </c>
      <c r="G770" s="251">
        <v>0</v>
      </c>
      <c r="H770" s="256">
        <f t="shared" si="155"/>
        <v>171488</v>
      </c>
    </row>
    <row r="771" spans="1:8" ht="24">
      <c r="A771" s="38">
        <v>31038</v>
      </c>
      <c r="B771" s="35" t="s">
        <v>2560</v>
      </c>
      <c r="C771" s="95">
        <v>304264112</v>
      </c>
      <c r="D771" s="250">
        <v>283183473</v>
      </c>
      <c r="E771" s="250">
        <f>587447584-21080639+2</f>
        <v>566366947</v>
      </c>
      <c r="F771" s="253">
        <f t="shared" si="156"/>
        <v>21080638</v>
      </c>
      <c r="G771" s="251">
        <v>0</v>
      </c>
      <c r="H771" s="256">
        <f t="shared" si="155"/>
        <v>21080638</v>
      </c>
    </row>
    <row r="772" spans="1:8" ht="24">
      <c r="A772" s="38">
        <v>31043</v>
      </c>
      <c r="B772" s="35" t="s">
        <v>2568</v>
      </c>
      <c r="C772" s="95">
        <v>15040</v>
      </c>
      <c r="D772" s="250">
        <v>9023</v>
      </c>
      <c r="E772" s="250">
        <f>24063-6017</f>
        <v>18046</v>
      </c>
      <c r="F772" s="253">
        <f t="shared" si="156"/>
        <v>6017</v>
      </c>
      <c r="G772" s="251">
        <v>0</v>
      </c>
      <c r="H772" s="256">
        <f t="shared" si="155"/>
        <v>6017</v>
      </c>
    </row>
    <row r="773" spans="1:8" ht="24">
      <c r="A773" s="38">
        <v>31044</v>
      </c>
      <c r="B773" s="35" t="s">
        <v>2569</v>
      </c>
      <c r="C773" s="95">
        <v>2103704</v>
      </c>
      <c r="D773" s="250">
        <v>2000000</v>
      </c>
      <c r="E773" s="250">
        <f>4103704-103704+0.5+0.5</f>
        <v>4000001</v>
      </c>
      <c r="F773" s="253">
        <f>103704-1</f>
        <v>103703</v>
      </c>
      <c r="G773" s="251">
        <v>0</v>
      </c>
      <c r="H773" s="256">
        <f t="shared" si="155"/>
        <v>103703</v>
      </c>
    </row>
    <row r="774" spans="1:8" ht="12">
      <c r="A774" s="38">
        <v>31046</v>
      </c>
      <c r="B774" s="35" t="s">
        <v>2563</v>
      </c>
      <c r="C774" s="95">
        <v>20082992</v>
      </c>
      <c r="D774" s="250">
        <v>20082991</v>
      </c>
      <c r="E774" s="250">
        <f>40165981+2</f>
        <v>40165983</v>
      </c>
      <c r="F774" s="253">
        <f>+C774+D774-E774</f>
        <v>0</v>
      </c>
      <c r="G774" s="251">
        <v>0</v>
      </c>
      <c r="H774" s="256">
        <f t="shared" si="155"/>
        <v>0</v>
      </c>
    </row>
    <row r="775" spans="1:8" ht="12">
      <c r="A775" s="38">
        <v>31058</v>
      </c>
      <c r="B775" s="35" t="s">
        <v>2570</v>
      </c>
      <c r="C775" s="95">
        <v>201992443</v>
      </c>
      <c r="D775" s="250">
        <v>171261345</v>
      </c>
      <c r="E775" s="250">
        <f>373253788-30731098</f>
        <v>342522690</v>
      </c>
      <c r="F775" s="253">
        <f>+C775+D775-E775</f>
        <v>30731098</v>
      </c>
      <c r="G775" s="251">
        <v>0</v>
      </c>
      <c r="H775" s="256">
        <f t="shared" si="155"/>
        <v>30731098</v>
      </c>
    </row>
    <row r="776" spans="1:8" ht="12">
      <c r="A776" s="38">
        <v>31091</v>
      </c>
      <c r="B776" s="35" t="s">
        <v>2565</v>
      </c>
      <c r="C776" s="95">
        <v>614219118</v>
      </c>
      <c r="D776" s="250">
        <v>603138989</v>
      </c>
      <c r="E776" s="250">
        <f>1217358107-11080130</f>
        <v>1206277977</v>
      </c>
      <c r="F776" s="253">
        <f>+C776+D776-E776</f>
        <v>11080130</v>
      </c>
      <c r="G776" s="251">
        <v>0</v>
      </c>
      <c r="H776" s="256">
        <f t="shared" si="155"/>
        <v>11080130</v>
      </c>
    </row>
    <row r="777" spans="1:8" s="15" customFormat="1" ht="12">
      <c r="A777" s="36">
        <v>31200</v>
      </c>
      <c r="B777" s="33" t="s">
        <v>2571</v>
      </c>
      <c r="C777" s="91">
        <f>+SUM(C778:C795)</f>
        <v>2365133119</v>
      </c>
      <c r="D777" s="251">
        <f>SUM(D778:D795)</f>
        <v>2365123121</v>
      </c>
      <c r="E777" s="251">
        <f>SUM(E778:E795)</f>
        <v>4730246239</v>
      </c>
      <c r="F777" s="251">
        <f>SUM(F778:F795)</f>
        <v>10002</v>
      </c>
      <c r="G777" s="251">
        <f>SUM(G778:G795)</f>
        <v>0</v>
      </c>
      <c r="H777" s="256">
        <f>SUM(H778:H795)</f>
        <v>10002</v>
      </c>
    </row>
    <row r="778" spans="1:8" ht="12">
      <c r="A778" s="38">
        <v>31211</v>
      </c>
      <c r="B778" s="35" t="s">
        <v>2549</v>
      </c>
      <c r="C778" s="95">
        <v>4005647</v>
      </c>
      <c r="D778" s="250">
        <v>4005647</v>
      </c>
      <c r="E778" s="250">
        <v>8011294</v>
      </c>
      <c r="F778" s="253">
        <f aca="true" t="shared" si="157" ref="F778:F789">+C778+D778-E778</f>
        <v>0</v>
      </c>
      <c r="G778" s="251">
        <v>0</v>
      </c>
      <c r="H778" s="256">
        <f aca="true" t="shared" si="158" ref="H778:H795">+F778</f>
        <v>0</v>
      </c>
    </row>
    <row r="779" spans="1:8" ht="12">
      <c r="A779" s="38">
        <v>31212</v>
      </c>
      <c r="B779" s="35" t="s">
        <v>2550</v>
      </c>
      <c r="C779" s="95">
        <v>54670</v>
      </c>
      <c r="D779" s="250">
        <f>54670</f>
        <v>54670</v>
      </c>
      <c r="E779" s="250">
        <f>109340</f>
        <v>109340</v>
      </c>
      <c r="F779" s="253">
        <f t="shared" si="157"/>
        <v>0</v>
      </c>
      <c r="G779" s="251">
        <v>0</v>
      </c>
      <c r="H779" s="256">
        <f t="shared" si="158"/>
        <v>0</v>
      </c>
    </row>
    <row r="780" spans="1:8" ht="24">
      <c r="A780" s="38">
        <v>31213</v>
      </c>
      <c r="B780" s="35" t="s">
        <v>2572</v>
      </c>
      <c r="C780" s="95">
        <v>1831</v>
      </c>
      <c r="D780" s="250">
        <v>1831</v>
      </c>
      <c r="E780" s="250">
        <v>3662</v>
      </c>
      <c r="F780" s="253">
        <f t="shared" si="157"/>
        <v>0</v>
      </c>
      <c r="G780" s="251">
        <v>0</v>
      </c>
      <c r="H780" s="256">
        <f t="shared" si="158"/>
        <v>0</v>
      </c>
    </row>
    <row r="781" spans="1:8" ht="24">
      <c r="A781" s="38">
        <v>31214</v>
      </c>
      <c r="B781" s="35" t="s">
        <v>2573</v>
      </c>
      <c r="C781" s="95">
        <v>824507</v>
      </c>
      <c r="D781" s="250">
        <v>824507</v>
      </c>
      <c r="E781" s="250">
        <v>1649014</v>
      </c>
      <c r="F781" s="253">
        <f t="shared" si="157"/>
        <v>0</v>
      </c>
      <c r="G781" s="251">
        <v>0</v>
      </c>
      <c r="H781" s="256">
        <f t="shared" si="158"/>
        <v>0</v>
      </c>
    </row>
    <row r="782" spans="1:8" ht="12">
      <c r="A782" s="38">
        <v>31215</v>
      </c>
      <c r="B782" s="35" t="s">
        <v>2553</v>
      </c>
      <c r="C782" s="95">
        <v>9367</v>
      </c>
      <c r="D782" s="250">
        <v>9367</v>
      </c>
      <c r="E782" s="250">
        <v>18734</v>
      </c>
      <c r="F782" s="253">
        <f t="shared" si="157"/>
        <v>0</v>
      </c>
      <c r="G782" s="251">
        <v>0</v>
      </c>
      <c r="H782" s="256">
        <f t="shared" si="158"/>
        <v>0</v>
      </c>
    </row>
    <row r="783" spans="1:8" ht="12">
      <c r="A783" s="38">
        <v>31216</v>
      </c>
      <c r="B783" s="35" t="s">
        <v>2554</v>
      </c>
      <c r="C783" s="95">
        <v>331420</v>
      </c>
      <c r="D783" s="250">
        <v>331421</v>
      </c>
      <c r="E783" s="250">
        <v>662841</v>
      </c>
      <c r="F783" s="253">
        <f t="shared" si="157"/>
        <v>0</v>
      </c>
      <c r="G783" s="251">
        <v>0</v>
      </c>
      <c r="H783" s="256">
        <f t="shared" si="158"/>
        <v>0</v>
      </c>
    </row>
    <row r="784" spans="1:8" ht="12">
      <c r="A784" s="38">
        <v>31217</v>
      </c>
      <c r="B784" s="35" t="s">
        <v>2574</v>
      </c>
      <c r="C784" s="95">
        <v>769</v>
      </c>
      <c r="D784" s="250">
        <v>769</v>
      </c>
      <c r="E784" s="250">
        <v>1538</v>
      </c>
      <c r="F784" s="253">
        <f t="shared" si="157"/>
        <v>0</v>
      </c>
      <c r="G784" s="251">
        <v>0</v>
      </c>
      <c r="H784" s="256">
        <f t="shared" si="158"/>
        <v>0</v>
      </c>
    </row>
    <row r="785" spans="1:8" ht="12">
      <c r="A785" s="38">
        <v>31218</v>
      </c>
      <c r="B785" s="35" t="s">
        <v>2567</v>
      </c>
      <c r="C785" s="95">
        <v>0</v>
      </c>
      <c r="D785" s="250">
        <v>0</v>
      </c>
      <c r="E785" s="250">
        <v>0</v>
      </c>
      <c r="F785" s="253">
        <f t="shared" si="157"/>
        <v>0</v>
      </c>
      <c r="G785" s="251">
        <v>0</v>
      </c>
      <c r="H785" s="256">
        <f t="shared" si="158"/>
        <v>0</v>
      </c>
    </row>
    <row r="786" spans="1:8" ht="12">
      <c r="A786" s="38">
        <v>31220</v>
      </c>
      <c r="B786" s="35" t="s">
        <v>2538</v>
      </c>
      <c r="C786" s="95">
        <v>1574121</v>
      </c>
      <c r="D786" s="250">
        <v>1574121</v>
      </c>
      <c r="E786" s="250">
        <v>3148242</v>
      </c>
      <c r="F786" s="253">
        <f t="shared" si="157"/>
        <v>0</v>
      </c>
      <c r="G786" s="251">
        <v>0</v>
      </c>
      <c r="H786" s="256">
        <f t="shared" si="158"/>
        <v>0</v>
      </c>
    </row>
    <row r="787" spans="1:8" ht="24">
      <c r="A787" s="38">
        <v>31221</v>
      </c>
      <c r="B787" s="35" t="s">
        <v>2575</v>
      </c>
      <c r="C787" s="95">
        <v>140098</v>
      </c>
      <c r="D787" s="250">
        <v>140098</v>
      </c>
      <c r="E787" s="250">
        <v>280196</v>
      </c>
      <c r="F787" s="253">
        <f t="shared" si="157"/>
        <v>0</v>
      </c>
      <c r="G787" s="251">
        <v>0</v>
      </c>
      <c r="H787" s="256">
        <f t="shared" si="158"/>
        <v>0</v>
      </c>
    </row>
    <row r="788" spans="1:8" ht="24">
      <c r="A788" s="38">
        <v>31232</v>
      </c>
      <c r="B788" s="35" t="s">
        <v>2576</v>
      </c>
      <c r="C788" s="95">
        <v>686143</v>
      </c>
      <c r="D788" s="250">
        <v>686143</v>
      </c>
      <c r="E788" s="250">
        <v>1372286</v>
      </c>
      <c r="F788" s="253">
        <f t="shared" si="157"/>
        <v>0</v>
      </c>
      <c r="G788" s="251">
        <v>0</v>
      </c>
      <c r="H788" s="256">
        <f t="shared" si="158"/>
        <v>0</v>
      </c>
    </row>
    <row r="789" spans="1:8" ht="24">
      <c r="A789" s="38">
        <v>31234</v>
      </c>
      <c r="B789" s="35" t="s">
        <v>2577</v>
      </c>
      <c r="C789" s="95">
        <v>0</v>
      </c>
      <c r="D789" s="250">
        <v>0</v>
      </c>
      <c r="E789" s="250">
        <v>0</v>
      </c>
      <c r="F789" s="253">
        <f t="shared" si="157"/>
        <v>0</v>
      </c>
      <c r="G789" s="251">
        <v>0</v>
      </c>
      <c r="H789" s="256">
        <f t="shared" si="158"/>
        <v>0</v>
      </c>
    </row>
    <row r="790" spans="1:8" ht="24">
      <c r="A790" s="38">
        <v>31238</v>
      </c>
      <c r="B790" s="35" t="s">
        <v>2560</v>
      </c>
      <c r="C790" s="95">
        <v>492365709</v>
      </c>
      <c r="D790" s="250">
        <v>492365710</v>
      </c>
      <c r="E790" s="250">
        <v>984731420</v>
      </c>
      <c r="F790" s="253">
        <v>0</v>
      </c>
      <c r="G790" s="251">
        <v>0</v>
      </c>
      <c r="H790" s="256">
        <f t="shared" si="158"/>
        <v>0</v>
      </c>
    </row>
    <row r="791" spans="1:8" ht="24">
      <c r="A791" s="38">
        <v>31243</v>
      </c>
      <c r="B791" s="35" t="s">
        <v>2568</v>
      </c>
      <c r="C791" s="95">
        <v>497199</v>
      </c>
      <c r="D791" s="250">
        <v>497199</v>
      </c>
      <c r="E791" s="250">
        <v>994398</v>
      </c>
      <c r="F791" s="253">
        <f>+C791+D791-E791</f>
        <v>0</v>
      </c>
      <c r="G791" s="251">
        <v>0</v>
      </c>
      <c r="H791" s="256">
        <f t="shared" si="158"/>
        <v>0</v>
      </c>
    </row>
    <row r="792" spans="1:8" ht="24">
      <c r="A792" s="38">
        <v>31244</v>
      </c>
      <c r="B792" s="35" t="s">
        <v>2569</v>
      </c>
      <c r="C792" s="95">
        <v>870432</v>
      </c>
      <c r="D792" s="250">
        <v>870433</v>
      </c>
      <c r="E792" s="250">
        <v>1740865</v>
      </c>
      <c r="F792" s="253">
        <f>+C792+D792-E792</f>
        <v>0</v>
      </c>
      <c r="G792" s="251">
        <v>0</v>
      </c>
      <c r="H792" s="256">
        <f t="shared" si="158"/>
        <v>0</v>
      </c>
    </row>
    <row r="793" spans="1:8" ht="12">
      <c r="A793" s="38">
        <v>31246</v>
      </c>
      <c r="B793" s="35" t="s">
        <v>2563</v>
      </c>
      <c r="C793" s="95">
        <v>473699095</v>
      </c>
      <c r="D793" s="250">
        <v>473699096</v>
      </c>
      <c r="E793" s="250">
        <v>947398191</v>
      </c>
      <c r="F793" s="253">
        <f>+C793+D793-E793</f>
        <v>0</v>
      </c>
      <c r="G793" s="251">
        <v>0</v>
      </c>
      <c r="H793" s="256">
        <f t="shared" si="158"/>
        <v>0</v>
      </c>
    </row>
    <row r="794" spans="1:8" ht="12">
      <c r="A794" s="38">
        <v>31258</v>
      </c>
      <c r="B794" s="35" t="s">
        <v>2578</v>
      </c>
      <c r="C794" s="95">
        <v>61134677</v>
      </c>
      <c r="D794" s="250">
        <v>61124675</v>
      </c>
      <c r="E794" s="250">
        <f>122259351-10001</f>
        <v>122249350</v>
      </c>
      <c r="F794" s="253">
        <f>+C794+D794-E794</f>
        <v>10002</v>
      </c>
      <c r="G794" s="251">
        <v>0</v>
      </c>
      <c r="H794" s="256">
        <f t="shared" si="158"/>
        <v>10002</v>
      </c>
    </row>
    <row r="795" spans="1:8" ht="12">
      <c r="A795" s="38">
        <v>31291</v>
      </c>
      <c r="B795" s="35" t="s">
        <v>2565</v>
      </c>
      <c r="C795" s="95">
        <v>1328937434</v>
      </c>
      <c r="D795" s="250">
        <v>1328937434</v>
      </c>
      <c r="E795" s="250">
        <v>2657874868</v>
      </c>
      <c r="F795" s="253">
        <f>+C795+D795-E795</f>
        <v>0</v>
      </c>
      <c r="G795" s="251">
        <v>0</v>
      </c>
      <c r="H795" s="256">
        <f t="shared" si="158"/>
        <v>0</v>
      </c>
    </row>
    <row r="796" spans="1:8" s="15" customFormat="1" ht="12">
      <c r="A796" s="36">
        <v>31500</v>
      </c>
      <c r="B796" s="33" t="s">
        <v>2579</v>
      </c>
      <c r="C796" s="91">
        <f>+SUM(C797:C814)</f>
        <v>52407279</v>
      </c>
      <c r="D796" s="251">
        <f>SUM(D797:D814)</f>
        <v>271554523</v>
      </c>
      <c r="E796" s="251">
        <f>SUM(E797:E814)</f>
        <v>39718170</v>
      </c>
      <c r="F796" s="251">
        <f>SUM(F797:F814)</f>
        <v>284243632</v>
      </c>
      <c r="G796" s="251">
        <f>SUM(G797:G814)</f>
        <v>0</v>
      </c>
      <c r="H796" s="256">
        <f>SUM(H797:H814)</f>
        <v>284243632</v>
      </c>
    </row>
    <row r="797" spans="1:8" ht="12">
      <c r="A797" s="38">
        <v>31511</v>
      </c>
      <c r="B797" s="35" t="s">
        <v>2549</v>
      </c>
      <c r="C797" s="95">
        <v>1368</v>
      </c>
      <c r="D797" s="250">
        <v>1369</v>
      </c>
      <c r="E797" s="250">
        <v>2737</v>
      </c>
      <c r="F797" s="253">
        <f aca="true" t="shared" si="159" ref="F797:F814">+C797+D797-E797</f>
        <v>0</v>
      </c>
      <c r="G797" s="251">
        <v>0</v>
      </c>
      <c r="H797" s="256">
        <f aca="true" t="shared" si="160" ref="H797:H814">+F797</f>
        <v>0</v>
      </c>
    </row>
    <row r="798" spans="1:8" ht="12">
      <c r="A798" s="38">
        <v>31512</v>
      </c>
      <c r="B798" s="35" t="s">
        <v>2550</v>
      </c>
      <c r="C798" s="95">
        <v>182662</v>
      </c>
      <c r="D798" s="250">
        <v>330443</v>
      </c>
      <c r="E798" s="250">
        <v>0</v>
      </c>
      <c r="F798" s="253">
        <f t="shared" si="159"/>
        <v>513105</v>
      </c>
      <c r="G798" s="251">
        <v>0</v>
      </c>
      <c r="H798" s="256">
        <f t="shared" si="160"/>
        <v>513105</v>
      </c>
    </row>
    <row r="799" spans="1:8" ht="24">
      <c r="A799" s="38">
        <v>31513</v>
      </c>
      <c r="B799" s="35" t="s">
        <v>2580</v>
      </c>
      <c r="C799" s="95">
        <v>0</v>
      </c>
      <c r="D799" s="250">
        <v>0</v>
      </c>
      <c r="E799" s="250">
        <v>0</v>
      </c>
      <c r="F799" s="253">
        <f t="shared" si="159"/>
        <v>0</v>
      </c>
      <c r="G799" s="251">
        <v>0</v>
      </c>
      <c r="H799" s="256">
        <f t="shared" si="160"/>
        <v>0</v>
      </c>
    </row>
    <row r="800" spans="1:8" ht="24">
      <c r="A800" s="38">
        <v>31514</v>
      </c>
      <c r="B800" s="35" t="s">
        <v>2581</v>
      </c>
      <c r="C800" s="95">
        <v>0</v>
      </c>
      <c r="D800" s="250">
        <v>0</v>
      </c>
      <c r="E800" s="250">
        <v>0</v>
      </c>
      <c r="F800" s="253">
        <f t="shared" si="159"/>
        <v>0</v>
      </c>
      <c r="G800" s="251">
        <v>0</v>
      </c>
      <c r="H800" s="256">
        <f t="shared" si="160"/>
        <v>0</v>
      </c>
    </row>
    <row r="801" spans="1:8" ht="12">
      <c r="A801" s="38">
        <v>31515</v>
      </c>
      <c r="B801" s="35" t="s">
        <v>2553</v>
      </c>
      <c r="C801" s="95">
        <v>167683</v>
      </c>
      <c r="D801" s="250">
        <v>96611</v>
      </c>
      <c r="E801" s="250">
        <v>0</v>
      </c>
      <c r="F801" s="253">
        <f t="shared" si="159"/>
        <v>264294</v>
      </c>
      <c r="G801" s="251">
        <v>0</v>
      </c>
      <c r="H801" s="256">
        <f t="shared" si="160"/>
        <v>264294</v>
      </c>
    </row>
    <row r="802" spans="1:8" ht="12">
      <c r="A802" s="38">
        <v>31516</v>
      </c>
      <c r="B802" s="35" t="s">
        <v>2582</v>
      </c>
      <c r="C802" s="95">
        <v>438666</v>
      </c>
      <c r="D802" s="250">
        <v>39441</v>
      </c>
      <c r="E802" s="250">
        <v>0</v>
      </c>
      <c r="F802" s="253">
        <f t="shared" si="159"/>
        <v>478107</v>
      </c>
      <c r="G802" s="251">
        <v>0</v>
      </c>
      <c r="H802" s="256">
        <f t="shared" si="160"/>
        <v>478107</v>
      </c>
    </row>
    <row r="803" spans="1:8" ht="12">
      <c r="A803" s="38">
        <v>31517</v>
      </c>
      <c r="B803" s="35" t="s">
        <v>2555</v>
      </c>
      <c r="C803" s="95">
        <v>0</v>
      </c>
      <c r="D803" s="250">
        <v>0</v>
      </c>
      <c r="E803" s="250">
        <v>0</v>
      </c>
      <c r="F803" s="253">
        <f t="shared" si="159"/>
        <v>0</v>
      </c>
      <c r="G803" s="251">
        <v>0</v>
      </c>
      <c r="H803" s="256">
        <f t="shared" si="160"/>
        <v>0</v>
      </c>
    </row>
    <row r="804" spans="1:8" ht="12">
      <c r="A804" s="38">
        <v>31518</v>
      </c>
      <c r="B804" s="35" t="s">
        <v>2583</v>
      </c>
      <c r="C804" s="95">
        <v>0</v>
      </c>
      <c r="D804" s="250">
        <v>0</v>
      </c>
      <c r="E804" s="250">
        <v>0</v>
      </c>
      <c r="F804" s="253">
        <f t="shared" si="159"/>
        <v>0</v>
      </c>
      <c r="G804" s="251">
        <v>0</v>
      </c>
      <c r="H804" s="256">
        <f t="shared" si="160"/>
        <v>0</v>
      </c>
    </row>
    <row r="805" spans="1:8" ht="12">
      <c r="A805" s="38">
        <v>31520</v>
      </c>
      <c r="B805" s="35" t="s">
        <v>2538</v>
      </c>
      <c r="C805" s="95">
        <v>0</v>
      </c>
      <c r="D805" s="250">
        <v>0</v>
      </c>
      <c r="E805" s="250">
        <v>0</v>
      </c>
      <c r="F805" s="253">
        <f t="shared" si="159"/>
        <v>0</v>
      </c>
      <c r="G805" s="251">
        <v>0</v>
      </c>
      <c r="H805" s="256">
        <f t="shared" si="160"/>
        <v>0</v>
      </c>
    </row>
    <row r="806" spans="1:8" ht="24">
      <c r="A806" s="38">
        <v>31521</v>
      </c>
      <c r="B806" s="35" t="s">
        <v>2584</v>
      </c>
      <c r="C806" s="95">
        <v>414197</v>
      </c>
      <c r="D806" s="250">
        <v>245266</v>
      </c>
      <c r="E806" s="250">
        <f>659463-168931</f>
        <v>490532</v>
      </c>
      <c r="F806" s="253">
        <f t="shared" si="159"/>
        <v>168931</v>
      </c>
      <c r="G806" s="251">
        <v>0</v>
      </c>
      <c r="H806" s="256">
        <f t="shared" si="160"/>
        <v>168931</v>
      </c>
    </row>
    <row r="807" spans="1:8" ht="12" customHeight="1">
      <c r="A807" s="38">
        <v>31532</v>
      </c>
      <c r="B807" s="35" t="s">
        <v>2585</v>
      </c>
      <c r="C807" s="95">
        <v>280999</v>
      </c>
      <c r="D807" s="250">
        <v>281000</v>
      </c>
      <c r="E807" s="250">
        <v>561999</v>
      </c>
      <c r="F807" s="253">
        <f t="shared" si="159"/>
        <v>0</v>
      </c>
      <c r="G807" s="251">
        <v>0</v>
      </c>
      <c r="H807" s="256">
        <f t="shared" si="160"/>
        <v>0</v>
      </c>
    </row>
    <row r="808" spans="1:8" ht="12" customHeight="1">
      <c r="A808" s="38">
        <v>31534</v>
      </c>
      <c r="B808" s="35" t="s">
        <v>2559</v>
      </c>
      <c r="C808" s="95">
        <v>0</v>
      </c>
      <c r="D808" s="250">
        <v>0</v>
      </c>
      <c r="E808" s="250">
        <v>0</v>
      </c>
      <c r="F808" s="253">
        <f t="shared" si="159"/>
        <v>0</v>
      </c>
      <c r="G808" s="251">
        <v>0</v>
      </c>
      <c r="H808" s="256">
        <f t="shared" si="160"/>
        <v>0</v>
      </c>
    </row>
    <row r="809" spans="1:8" ht="12">
      <c r="A809" s="38">
        <v>31538</v>
      </c>
      <c r="B809" s="35" t="s">
        <v>2586</v>
      </c>
      <c r="C809" s="95">
        <v>0</v>
      </c>
      <c r="D809" s="250">
        <v>80022000</v>
      </c>
      <c r="E809" s="250">
        <v>0</v>
      </c>
      <c r="F809" s="253">
        <f t="shared" si="159"/>
        <v>80022000</v>
      </c>
      <c r="G809" s="251">
        <v>0</v>
      </c>
      <c r="H809" s="256">
        <f t="shared" si="160"/>
        <v>80022000</v>
      </c>
    </row>
    <row r="810" spans="1:8" ht="24">
      <c r="A810" s="38">
        <v>31543</v>
      </c>
      <c r="B810" s="35" t="s">
        <v>2568</v>
      </c>
      <c r="C810" s="95">
        <v>1546193</v>
      </c>
      <c r="D810" s="250">
        <v>1124369</v>
      </c>
      <c r="E810" s="250">
        <v>0</v>
      </c>
      <c r="F810" s="253">
        <f t="shared" si="159"/>
        <v>2670562</v>
      </c>
      <c r="G810" s="251">
        <v>0</v>
      </c>
      <c r="H810" s="256">
        <f t="shared" si="160"/>
        <v>2670562</v>
      </c>
    </row>
    <row r="811" spans="1:8" ht="12">
      <c r="A811" s="38">
        <v>31544</v>
      </c>
      <c r="B811" s="35" t="s">
        <v>2587</v>
      </c>
      <c r="C811" s="95">
        <v>102707</v>
      </c>
      <c r="D811" s="250">
        <v>79545</v>
      </c>
      <c r="E811" s="250">
        <f>182253-23162</f>
        <v>159091</v>
      </c>
      <c r="F811" s="253">
        <f t="shared" si="159"/>
        <v>23161</v>
      </c>
      <c r="G811" s="251">
        <v>0</v>
      </c>
      <c r="H811" s="256">
        <f t="shared" si="160"/>
        <v>23161</v>
      </c>
    </row>
    <row r="812" spans="1:8" ht="12">
      <c r="A812" s="38">
        <v>31546</v>
      </c>
      <c r="B812" s="35" t="s">
        <v>2543</v>
      </c>
      <c r="C812" s="95">
        <v>0</v>
      </c>
      <c r="D812" s="250">
        <v>0</v>
      </c>
      <c r="E812" s="250">
        <v>0</v>
      </c>
      <c r="F812" s="253">
        <f t="shared" si="159"/>
        <v>0</v>
      </c>
      <c r="G812" s="251">
        <v>0</v>
      </c>
      <c r="H812" s="256">
        <f t="shared" si="160"/>
        <v>0</v>
      </c>
    </row>
    <row r="813" spans="1:8" ht="12">
      <c r="A813" s="38">
        <v>31558</v>
      </c>
      <c r="B813" s="35" t="s">
        <v>2564</v>
      </c>
      <c r="C813" s="95">
        <v>30020898</v>
      </c>
      <c r="D813" s="250">
        <v>170082574</v>
      </c>
      <c r="E813" s="250">
        <v>0</v>
      </c>
      <c r="F813" s="253">
        <f t="shared" si="159"/>
        <v>200103472</v>
      </c>
      <c r="G813" s="251">
        <v>0</v>
      </c>
      <c r="H813" s="256">
        <f t="shared" si="160"/>
        <v>200103472</v>
      </c>
    </row>
    <row r="814" spans="1:8" ht="12">
      <c r="A814" s="38">
        <v>31591</v>
      </c>
      <c r="B814" s="35" t="s">
        <v>2565</v>
      </c>
      <c r="C814" s="95">
        <v>19251906</v>
      </c>
      <c r="D814" s="250">
        <v>19251905</v>
      </c>
      <c r="E814" s="250">
        <v>38503811</v>
      </c>
      <c r="F814" s="253">
        <f t="shared" si="159"/>
        <v>0</v>
      </c>
      <c r="G814" s="251">
        <v>0</v>
      </c>
      <c r="H814" s="256">
        <f t="shared" si="160"/>
        <v>0</v>
      </c>
    </row>
    <row r="815" spans="1:8" s="15" customFormat="1" ht="12">
      <c r="A815" s="36">
        <v>32200</v>
      </c>
      <c r="B815" s="33" t="s">
        <v>2588</v>
      </c>
      <c r="C815" s="91">
        <f>+SUM(C816:C833)</f>
        <v>797897854</v>
      </c>
      <c r="D815" s="251">
        <f>SUM(D816:D833)</f>
        <v>800420739</v>
      </c>
      <c r="E815" s="251">
        <f>SUM(E816:E833)</f>
        <v>1595133576</v>
      </c>
      <c r="F815" s="251">
        <f>SUM(F816:F833)</f>
        <v>3185019</v>
      </c>
      <c r="G815" s="251">
        <f>SUM(G816:G833)</f>
        <v>0</v>
      </c>
      <c r="H815" s="256">
        <f>SUM(H816:H833)</f>
        <v>3185019</v>
      </c>
    </row>
    <row r="816" spans="1:8" ht="12">
      <c r="A816" s="38">
        <v>32211</v>
      </c>
      <c r="B816" s="35" t="s">
        <v>2549</v>
      </c>
      <c r="C816" s="95">
        <v>8197</v>
      </c>
      <c r="D816" s="250">
        <v>8197</v>
      </c>
      <c r="E816" s="250">
        <v>16394</v>
      </c>
      <c r="F816" s="253">
        <f>+C816+D816-E816</f>
        <v>0</v>
      </c>
      <c r="G816" s="251">
        <v>0</v>
      </c>
      <c r="H816" s="256">
        <f aca="true" t="shared" si="161" ref="H816:H833">+F816</f>
        <v>0</v>
      </c>
    </row>
    <row r="817" spans="1:8" ht="12">
      <c r="A817" s="38">
        <v>32212</v>
      </c>
      <c r="B817" s="35" t="s">
        <v>2550</v>
      </c>
      <c r="C817" s="95">
        <v>771</v>
      </c>
      <c r="D817" s="250">
        <v>771</v>
      </c>
      <c r="E817" s="250">
        <v>1542</v>
      </c>
      <c r="F817" s="253">
        <f>+C817+D817-E817</f>
        <v>0</v>
      </c>
      <c r="G817" s="251">
        <v>0</v>
      </c>
      <c r="H817" s="256">
        <f t="shared" si="161"/>
        <v>0</v>
      </c>
    </row>
    <row r="818" spans="1:8" ht="24">
      <c r="A818" s="38">
        <v>32213</v>
      </c>
      <c r="B818" s="35" t="s">
        <v>2589</v>
      </c>
      <c r="C818" s="95">
        <v>109</v>
      </c>
      <c r="D818" s="250">
        <v>109</v>
      </c>
      <c r="E818" s="250">
        <v>219</v>
      </c>
      <c r="F818" s="253">
        <v>0</v>
      </c>
      <c r="G818" s="251">
        <v>0</v>
      </c>
      <c r="H818" s="256">
        <f t="shared" si="161"/>
        <v>0</v>
      </c>
    </row>
    <row r="819" spans="1:8" ht="24">
      <c r="A819" s="38">
        <v>32214</v>
      </c>
      <c r="B819" s="35" t="s">
        <v>2552</v>
      </c>
      <c r="C819" s="95">
        <v>40</v>
      </c>
      <c r="D819" s="250">
        <v>40</v>
      </c>
      <c r="E819" s="250">
        <v>81</v>
      </c>
      <c r="F819" s="253">
        <v>0</v>
      </c>
      <c r="G819" s="251">
        <v>0</v>
      </c>
      <c r="H819" s="256">
        <f t="shared" si="161"/>
        <v>0</v>
      </c>
    </row>
    <row r="820" spans="1:8" ht="12">
      <c r="A820" s="38">
        <v>32215</v>
      </c>
      <c r="B820" s="35" t="s">
        <v>2553</v>
      </c>
      <c r="C820" s="95">
        <v>1680</v>
      </c>
      <c r="D820" s="250">
        <v>1680</v>
      </c>
      <c r="E820" s="250">
        <v>3360</v>
      </c>
      <c r="F820" s="253">
        <f aca="true" t="shared" si="162" ref="F820:F833">+C820+D820-E820</f>
        <v>0</v>
      </c>
      <c r="G820" s="251">
        <v>0</v>
      </c>
      <c r="H820" s="256">
        <f t="shared" si="161"/>
        <v>0</v>
      </c>
    </row>
    <row r="821" spans="1:8" ht="12">
      <c r="A821" s="38">
        <v>32216</v>
      </c>
      <c r="B821" s="35" t="s">
        <v>2554</v>
      </c>
      <c r="C821" s="95">
        <v>38984</v>
      </c>
      <c r="D821" s="250">
        <v>28481</v>
      </c>
      <c r="E821" s="250">
        <f>67465-10503</f>
        <v>56962</v>
      </c>
      <c r="F821" s="253">
        <f t="shared" si="162"/>
        <v>10503</v>
      </c>
      <c r="G821" s="251">
        <v>0</v>
      </c>
      <c r="H821" s="256">
        <f t="shared" si="161"/>
        <v>10503</v>
      </c>
    </row>
    <row r="822" spans="1:8" ht="12">
      <c r="A822" s="38">
        <v>32217</v>
      </c>
      <c r="B822" s="35" t="s">
        <v>2590</v>
      </c>
      <c r="C822" s="95">
        <v>0</v>
      </c>
      <c r="D822" s="250">
        <v>15049</v>
      </c>
      <c r="E822" s="250">
        <v>0</v>
      </c>
      <c r="F822" s="253">
        <f t="shared" si="162"/>
        <v>15049</v>
      </c>
      <c r="G822" s="251">
        <v>0</v>
      </c>
      <c r="H822" s="256">
        <f t="shared" si="161"/>
        <v>15049</v>
      </c>
    </row>
    <row r="823" spans="1:8" ht="12">
      <c r="A823" s="38">
        <v>32218</v>
      </c>
      <c r="B823" s="35" t="s">
        <v>2567</v>
      </c>
      <c r="C823" s="95">
        <v>0</v>
      </c>
      <c r="D823" s="250">
        <v>0</v>
      </c>
      <c r="E823" s="250">
        <v>0</v>
      </c>
      <c r="F823" s="253">
        <f t="shared" si="162"/>
        <v>0</v>
      </c>
      <c r="G823" s="251">
        <v>0</v>
      </c>
      <c r="H823" s="256">
        <f t="shared" si="161"/>
        <v>0</v>
      </c>
    </row>
    <row r="824" spans="1:8" ht="12">
      <c r="A824" s="38">
        <v>32220</v>
      </c>
      <c r="B824" s="35" t="s">
        <v>2538</v>
      </c>
      <c r="C824" s="95">
        <v>0</v>
      </c>
      <c r="D824" s="250">
        <v>1764674</v>
      </c>
      <c r="E824" s="250">
        <v>0</v>
      </c>
      <c r="F824" s="253">
        <f t="shared" si="162"/>
        <v>1764674</v>
      </c>
      <c r="G824" s="251">
        <v>0</v>
      </c>
      <c r="H824" s="256">
        <f t="shared" si="161"/>
        <v>1764674</v>
      </c>
    </row>
    <row r="825" spans="1:8" ht="24">
      <c r="A825" s="38">
        <v>32221</v>
      </c>
      <c r="B825" s="35" t="s">
        <v>2575</v>
      </c>
      <c r="C825" s="95">
        <v>7058</v>
      </c>
      <c r="D825" s="250">
        <v>7058</v>
      </c>
      <c r="E825" s="250">
        <v>14116</v>
      </c>
      <c r="F825" s="253">
        <f t="shared" si="162"/>
        <v>0</v>
      </c>
      <c r="G825" s="251">
        <v>0</v>
      </c>
      <c r="H825" s="256">
        <f t="shared" si="161"/>
        <v>0</v>
      </c>
    </row>
    <row r="826" spans="1:8" ht="24">
      <c r="A826" s="38">
        <v>32232</v>
      </c>
      <c r="B826" s="35" t="s">
        <v>2558</v>
      </c>
      <c r="C826" s="95">
        <v>0</v>
      </c>
      <c r="D826" s="250">
        <v>0</v>
      </c>
      <c r="E826" s="250">
        <v>0</v>
      </c>
      <c r="F826" s="253">
        <f t="shared" si="162"/>
        <v>0</v>
      </c>
      <c r="G826" s="251">
        <v>0</v>
      </c>
      <c r="H826" s="256">
        <f t="shared" si="161"/>
        <v>0</v>
      </c>
    </row>
    <row r="827" spans="1:8" ht="12" customHeight="1">
      <c r="A827" s="38">
        <v>32234</v>
      </c>
      <c r="B827" s="35" t="s">
        <v>2559</v>
      </c>
      <c r="C827" s="95">
        <v>0</v>
      </c>
      <c r="D827" s="250">
        <v>0</v>
      </c>
      <c r="E827" s="250">
        <v>0</v>
      </c>
      <c r="F827" s="253">
        <f t="shared" si="162"/>
        <v>0</v>
      </c>
      <c r="G827" s="251">
        <v>0</v>
      </c>
      <c r="H827" s="256">
        <f t="shared" si="161"/>
        <v>0</v>
      </c>
    </row>
    <row r="828" spans="1:8" ht="24">
      <c r="A828" s="38">
        <v>32238</v>
      </c>
      <c r="B828" s="35" t="s">
        <v>2560</v>
      </c>
      <c r="C828" s="95">
        <v>78464427</v>
      </c>
      <c r="D828" s="250">
        <v>78464427</v>
      </c>
      <c r="E828" s="250">
        <v>156928854</v>
      </c>
      <c r="F828" s="253">
        <f t="shared" si="162"/>
        <v>0</v>
      </c>
      <c r="G828" s="251">
        <v>0</v>
      </c>
      <c r="H828" s="256">
        <f t="shared" si="161"/>
        <v>0</v>
      </c>
    </row>
    <row r="829" spans="1:8" ht="24">
      <c r="A829" s="38">
        <v>32243</v>
      </c>
      <c r="B829" s="35" t="s">
        <v>2568</v>
      </c>
      <c r="C829" s="95">
        <v>0</v>
      </c>
      <c r="D829" s="250">
        <v>0</v>
      </c>
      <c r="E829" s="250">
        <v>0</v>
      </c>
      <c r="F829" s="253">
        <f t="shared" si="162"/>
        <v>0</v>
      </c>
      <c r="G829" s="251">
        <v>0</v>
      </c>
      <c r="H829" s="256">
        <f t="shared" si="161"/>
        <v>0</v>
      </c>
    </row>
    <row r="830" spans="1:8" ht="24">
      <c r="A830" s="38">
        <v>32244</v>
      </c>
      <c r="B830" s="35" t="s">
        <v>2591</v>
      </c>
      <c r="C830" s="95">
        <v>0</v>
      </c>
      <c r="D830" s="250">
        <v>46937</v>
      </c>
      <c r="E830" s="250">
        <v>0</v>
      </c>
      <c r="F830" s="253">
        <f t="shared" si="162"/>
        <v>46937</v>
      </c>
      <c r="G830" s="251">
        <v>0</v>
      </c>
      <c r="H830" s="256">
        <f t="shared" si="161"/>
        <v>46937</v>
      </c>
    </row>
    <row r="831" spans="1:8" ht="12">
      <c r="A831" s="38">
        <v>32246</v>
      </c>
      <c r="B831" s="35" t="s">
        <v>2543</v>
      </c>
      <c r="C831" s="95">
        <v>0</v>
      </c>
      <c r="D831" s="250">
        <v>493711</v>
      </c>
      <c r="E831" s="250">
        <v>0</v>
      </c>
      <c r="F831" s="253">
        <f t="shared" si="162"/>
        <v>493711</v>
      </c>
      <c r="G831" s="251">
        <v>0</v>
      </c>
      <c r="H831" s="256">
        <f t="shared" si="161"/>
        <v>493711</v>
      </c>
    </row>
    <row r="832" spans="1:8" ht="12">
      <c r="A832" s="38">
        <v>32258</v>
      </c>
      <c r="B832" s="35" t="s">
        <v>2578</v>
      </c>
      <c r="C832" s="95">
        <v>430689</v>
      </c>
      <c r="D832" s="250">
        <v>643705</v>
      </c>
      <c r="E832" s="250">
        <f>1074394-854145</f>
        <v>220249</v>
      </c>
      <c r="F832" s="253">
        <f t="shared" si="162"/>
        <v>854145</v>
      </c>
      <c r="G832" s="251">
        <v>0</v>
      </c>
      <c r="H832" s="256">
        <f t="shared" si="161"/>
        <v>854145</v>
      </c>
    </row>
    <row r="833" spans="1:8" ht="12">
      <c r="A833" s="38">
        <v>32291</v>
      </c>
      <c r="B833" s="35" t="s">
        <v>2565</v>
      </c>
      <c r="C833" s="95">
        <v>718945899</v>
      </c>
      <c r="D833" s="250">
        <v>718945900</v>
      </c>
      <c r="E833" s="250">
        <v>1437891799</v>
      </c>
      <c r="F833" s="253">
        <f t="shared" si="162"/>
        <v>0</v>
      </c>
      <c r="G833" s="251">
        <v>0</v>
      </c>
      <c r="H833" s="256">
        <f t="shared" si="161"/>
        <v>0</v>
      </c>
    </row>
    <row r="834" spans="1:8" s="15" customFormat="1" ht="12">
      <c r="A834" s="36">
        <v>33000</v>
      </c>
      <c r="B834" s="33" t="s">
        <v>2592</v>
      </c>
      <c r="C834" s="91">
        <f>+SUM(C835:C852)</f>
        <v>8748003396</v>
      </c>
      <c r="D834" s="251">
        <f>SUM(D835:D852)</f>
        <v>4033708143</v>
      </c>
      <c r="E834" s="251">
        <f>SUM(E835:E852)</f>
        <v>0</v>
      </c>
      <c r="F834" s="251">
        <f>SUM(F835:F852)</f>
        <v>12781711539</v>
      </c>
      <c r="G834" s="251">
        <f>SUM(G835:G852)</f>
        <v>0</v>
      </c>
      <c r="H834" s="256">
        <f>SUM(H835:H852)</f>
        <v>12781711539</v>
      </c>
    </row>
    <row r="835" spans="1:8" s="15" customFormat="1" ht="12">
      <c r="A835" s="38">
        <v>33011</v>
      </c>
      <c r="B835" s="35" t="s">
        <v>2549</v>
      </c>
      <c r="C835" s="95">
        <v>8033370</v>
      </c>
      <c r="D835" s="250">
        <v>3656331</v>
      </c>
      <c r="E835" s="250">
        <v>0</v>
      </c>
      <c r="F835" s="253">
        <f aca="true" t="shared" si="163" ref="F835:F852">+C835+D835-E835</f>
        <v>11689701</v>
      </c>
      <c r="G835" s="251">
        <v>0</v>
      </c>
      <c r="H835" s="256">
        <f aca="true" t="shared" si="164" ref="H835:H852">+F835</f>
        <v>11689701</v>
      </c>
    </row>
    <row r="836" spans="1:8" ht="12">
      <c r="A836" s="38">
        <v>33012</v>
      </c>
      <c r="B836" s="35" t="s">
        <v>2550</v>
      </c>
      <c r="C836" s="95">
        <v>219819</v>
      </c>
      <c r="D836" s="250">
        <v>244592</v>
      </c>
      <c r="E836" s="250">
        <v>0</v>
      </c>
      <c r="F836" s="253">
        <f t="shared" si="163"/>
        <v>464411</v>
      </c>
      <c r="G836" s="251">
        <v>0</v>
      </c>
      <c r="H836" s="256">
        <f t="shared" si="164"/>
        <v>464411</v>
      </c>
    </row>
    <row r="837" spans="1:8" ht="24">
      <c r="A837" s="38">
        <v>33013</v>
      </c>
      <c r="B837" s="35" t="s">
        <v>2589</v>
      </c>
      <c r="C837" s="95">
        <v>1102474</v>
      </c>
      <c r="D837" s="250">
        <v>391583</v>
      </c>
      <c r="E837" s="250">
        <v>0</v>
      </c>
      <c r="F837" s="253">
        <f t="shared" si="163"/>
        <v>1494057</v>
      </c>
      <c r="G837" s="251">
        <v>0</v>
      </c>
      <c r="H837" s="256">
        <f t="shared" si="164"/>
        <v>1494057</v>
      </c>
    </row>
    <row r="838" spans="1:8" ht="24">
      <c r="A838" s="38">
        <v>33014</v>
      </c>
      <c r="B838" s="35" t="s">
        <v>2552</v>
      </c>
      <c r="C838" s="95">
        <v>1429986</v>
      </c>
      <c r="D838" s="250">
        <v>582189</v>
      </c>
      <c r="E838" s="250">
        <v>0</v>
      </c>
      <c r="F838" s="253">
        <f t="shared" si="163"/>
        <v>2012175</v>
      </c>
      <c r="G838" s="251">
        <v>0</v>
      </c>
      <c r="H838" s="256">
        <f t="shared" si="164"/>
        <v>2012175</v>
      </c>
    </row>
    <row r="839" spans="1:8" ht="12">
      <c r="A839" s="38">
        <v>33015</v>
      </c>
      <c r="B839" s="35" t="s">
        <v>2553</v>
      </c>
      <c r="C839" s="95">
        <v>165495</v>
      </c>
      <c r="D839" s="250">
        <v>129754</v>
      </c>
      <c r="E839" s="250">
        <v>0</v>
      </c>
      <c r="F839" s="253">
        <f t="shared" si="163"/>
        <v>295249</v>
      </c>
      <c r="G839" s="251">
        <v>0</v>
      </c>
      <c r="H839" s="256">
        <f t="shared" si="164"/>
        <v>295249</v>
      </c>
    </row>
    <row r="840" spans="1:8" s="15" customFormat="1" ht="12">
      <c r="A840" s="38">
        <v>33016</v>
      </c>
      <c r="B840" s="35" t="s">
        <v>2593</v>
      </c>
      <c r="C840" s="95">
        <v>887343</v>
      </c>
      <c r="D840" s="250">
        <v>713187</v>
      </c>
      <c r="E840" s="250">
        <v>0</v>
      </c>
      <c r="F840" s="253">
        <f t="shared" si="163"/>
        <v>1600530</v>
      </c>
      <c r="G840" s="251">
        <v>0</v>
      </c>
      <c r="H840" s="256">
        <f t="shared" si="164"/>
        <v>1600530</v>
      </c>
    </row>
    <row r="841" spans="1:8" ht="12">
      <c r="A841" s="38">
        <v>33017</v>
      </c>
      <c r="B841" s="35" t="s">
        <v>2590</v>
      </c>
      <c r="C841" s="95">
        <v>27613</v>
      </c>
      <c r="D841" s="250">
        <v>77300</v>
      </c>
      <c r="E841" s="250">
        <v>0</v>
      </c>
      <c r="F841" s="253">
        <f t="shared" si="163"/>
        <v>104913</v>
      </c>
      <c r="G841" s="251">
        <v>0</v>
      </c>
      <c r="H841" s="256">
        <f t="shared" si="164"/>
        <v>104913</v>
      </c>
    </row>
    <row r="842" spans="1:8" ht="12">
      <c r="A842" s="38">
        <v>33018</v>
      </c>
      <c r="B842" s="35" t="s">
        <v>2583</v>
      </c>
      <c r="C842" s="95">
        <v>0</v>
      </c>
      <c r="D842" s="250">
        <v>0</v>
      </c>
      <c r="E842" s="250">
        <v>0</v>
      </c>
      <c r="F842" s="253">
        <f t="shared" si="163"/>
        <v>0</v>
      </c>
      <c r="G842" s="251">
        <v>0</v>
      </c>
      <c r="H842" s="256">
        <f t="shared" si="164"/>
        <v>0</v>
      </c>
    </row>
    <row r="843" spans="1:8" ht="12">
      <c r="A843" s="38">
        <v>33020</v>
      </c>
      <c r="B843" s="35" t="s">
        <v>2538</v>
      </c>
      <c r="C843" s="95">
        <v>12063422</v>
      </c>
      <c r="D843" s="250">
        <v>29342592</v>
      </c>
      <c r="E843" s="250">
        <v>0</v>
      </c>
      <c r="F843" s="253">
        <f t="shared" si="163"/>
        <v>41406014</v>
      </c>
      <c r="G843" s="251">
        <v>0</v>
      </c>
      <c r="H843" s="256">
        <f t="shared" si="164"/>
        <v>41406014</v>
      </c>
    </row>
    <row r="844" spans="1:8" ht="24">
      <c r="A844" s="38">
        <v>33021</v>
      </c>
      <c r="B844" s="35" t="s">
        <v>2575</v>
      </c>
      <c r="C844" s="95">
        <v>1421123</v>
      </c>
      <c r="D844" s="250">
        <v>634502</v>
      </c>
      <c r="E844" s="250">
        <v>0</v>
      </c>
      <c r="F844" s="253">
        <f t="shared" si="163"/>
        <v>2055625</v>
      </c>
      <c r="G844" s="251">
        <v>0</v>
      </c>
      <c r="H844" s="256">
        <f t="shared" si="164"/>
        <v>2055625</v>
      </c>
    </row>
    <row r="845" spans="1:8" ht="24">
      <c r="A845" s="38">
        <v>33032</v>
      </c>
      <c r="B845" s="35" t="s">
        <v>2558</v>
      </c>
      <c r="C845" s="95">
        <v>2974910</v>
      </c>
      <c r="D845" s="250">
        <v>1197142</v>
      </c>
      <c r="E845" s="250">
        <v>0</v>
      </c>
      <c r="F845" s="253">
        <f t="shared" si="163"/>
        <v>4172052</v>
      </c>
      <c r="G845" s="251">
        <v>0</v>
      </c>
      <c r="H845" s="256">
        <f t="shared" si="164"/>
        <v>4172052</v>
      </c>
    </row>
    <row r="846" spans="1:8" s="15" customFormat="1" ht="12" customHeight="1">
      <c r="A846" s="38">
        <v>33034</v>
      </c>
      <c r="B846" s="35" t="s">
        <v>2559</v>
      </c>
      <c r="C846" s="95">
        <v>635710</v>
      </c>
      <c r="D846" s="250">
        <v>0</v>
      </c>
      <c r="E846" s="250">
        <v>0</v>
      </c>
      <c r="F846" s="253">
        <f t="shared" si="163"/>
        <v>635710</v>
      </c>
      <c r="G846" s="251">
        <v>0</v>
      </c>
      <c r="H846" s="256">
        <f t="shared" si="164"/>
        <v>635710</v>
      </c>
    </row>
    <row r="847" spans="1:8" ht="24">
      <c r="A847" s="38">
        <v>33038</v>
      </c>
      <c r="B847" s="35" t="s">
        <v>2560</v>
      </c>
      <c r="C847" s="95">
        <v>1195404299</v>
      </c>
      <c r="D847" s="250">
        <v>745580013</v>
      </c>
      <c r="E847" s="250">
        <v>0</v>
      </c>
      <c r="F847" s="253">
        <f t="shared" si="163"/>
        <v>1940984312</v>
      </c>
      <c r="G847" s="251">
        <v>0</v>
      </c>
      <c r="H847" s="256">
        <f t="shared" si="164"/>
        <v>1940984312</v>
      </c>
    </row>
    <row r="848" spans="1:8" ht="24">
      <c r="A848" s="38">
        <v>33043</v>
      </c>
      <c r="B848" s="35" t="s">
        <v>2568</v>
      </c>
      <c r="C848" s="95">
        <v>4887147</v>
      </c>
      <c r="D848" s="250">
        <v>1503799</v>
      </c>
      <c r="E848" s="250">
        <v>0</v>
      </c>
      <c r="F848" s="253">
        <f t="shared" si="163"/>
        <v>6390946</v>
      </c>
      <c r="G848" s="251">
        <v>0</v>
      </c>
      <c r="H848" s="256">
        <f t="shared" si="164"/>
        <v>6390946</v>
      </c>
    </row>
    <row r="849" spans="1:8" ht="24">
      <c r="A849" s="38">
        <v>33044</v>
      </c>
      <c r="B849" s="35" t="s">
        <v>2569</v>
      </c>
      <c r="C849" s="95">
        <v>2123156</v>
      </c>
      <c r="D849" s="250">
        <v>323042</v>
      </c>
      <c r="E849" s="250">
        <v>0</v>
      </c>
      <c r="F849" s="253">
        <f t="shared" si="163"/>
        <v>2446198</v>
      </c>
      <c r="G849" s="251">
        <v>0</v>
      </c>
      <c r="H849" s="256">
        <f t="shared" si="164"/>
        <v>2446198</v>
      </c>
    </row>
    <row r="850" spans="1:8" ht="12">
      <c r="A850" s="38">
        <v>33046</v>
      </c>
      <c r="B850" s="35" t="s">
        <v>2563</v>
      </c>
      <c r="C850" s="95">
        <v>953470739</v>
      </c>
      <c r="D850" s="250">
        <v>517895897</v>
      </c>
      <c r="E850" s="250">
        <v>0</v>
      </c>
      <c r="F850" s="253">
        <f t="shared" si="163"/>
        <v>1471366636</v>
      </c>
      <c r="G850" s="251">
        <v>0</v>
      </c>
      <c r="H850" s="256">
        <f t="shared" si="164"/>
        <v>1471366636</v>
      </c>
    </row>
    <row r="851" spans="1:8" s="15" customFormat="1" ht="12">
      <c r="A851" s="38">
        <v>33058</v>
      </c>
      <c r="B851" s="35" t="s">
        <v>2594</v>
      </c>
      <c r="C851" s="95">
        <v>74149002</v>
      </c>
      <c r="D851" s="250">
        <v>61879990</v>
      </c>
      <c r="E851" s="250">
        <v>0</v>
      </c>
      <c r="F851" s="253">
        <f t="shared" si="163"/>
        <v>136028992</v>
      </c>
      <c r="G851" s="251">
        <v>0</v>
      </c>
      <c r="H851" s="256">
        <f t="shared" si="164"/>
        <v>136028992</v>
      </c>
    </row>
    <row r="852" spans="1:8" ht="12">
      <c r="A852" s="38">
        <v>33091</v>
      </c>
      <c r="B852" s="35" t="s">
        <v>2565</v>
      </c>
      <c r="C852" s="95">
        <v>6489007788</v>
      </c>
      <c r="D852" s="250">
        <v>2669556230</v>
      </c>
      <c r="E852" s="250">
        <v>0</v>
      </c>
      <c r="F852" s="253">
        <f t="shared" si="163"/>
        <v>9158564018</v>
      </c>
      <c r="G852" s="251">
        <v>0</v>
      </c>
      <c r="H852" s="256">
        <f t="shared" si="164"/>
        <v>9158564018</v>
      </c>
    </row>
    <row r="853" spans="1:8" ht="12">
      <c r="A853" s="36">
        <v>40000</v>
      </c>
      <c r="B853" s="33" t="s">
        <v>2520</v>
      </c>
      <c r="C853" s="91">
        <f>+C854+C859+C865+C870</f>
        <v>0</v>
      </c>
      <c r="D853" s="251">
        <f>D854+D859+D865+D870</f>
        <v>312372062</v>
      </c>
      <c r="E853" s="251">
        <f>E854+E859+E865+E870</f>
        <v>312372062</v>
      </c>
      <c r="F853" s="251">
        <f>F854+F859+F865+F870</f>
        <v>0</v>
      </c>
      <c r="G853" s="251">
        <f>G854+G859+G865+G870</f>
        <v>0</v>
      </c>
      <c r="H853" s="256">
        <f>H854+H859+H865+H870</f>
        <v>0</v>
      </c>
    </row>
    <row r="854" spans="1:8" ht="24">
      <c r="A854" s="36">
        <v>40500</v>
      </c>
      <c r="B854" s="33" t="s">
        <v>2595</v>
      </c>
      <c r="C854" s="91">
        <f>+SUM(C855:C858)</f>
        <v>-268894575</v>
      </c>
      <c r="D854" s="251">
        <f>SUM(D855:D858)</f>
        <v>107605235</v>
      </c>
      <c r="E854" s="251">
        <f>SUM(E855:E858)</f>
        <v>53802618</v>
      </c>
      <c r="F854" s="251">
        <f>SUM(F855:F858)</f>
        <v>-215091958</v>
      </c>
      <c r="G854" s="251">
        <f>SUM(G855:G858)</f>
        <v>0</v>
      </c>
      <c r="H854" s="256">
        <f>SUM(H855:H858)</f>
        <v>-215091958</v>
      </c>
    </row>
    <row r="855" spans="1:8" ht="12">
      <c r="A855" s="38">
        <v>40501</v>
      </c>
      <c r="B855" s="35" t="s">
        <v>1616</v>
      </c>
      <c r="C855" s="95">
        <v>-601425</v>
      </c>
      <c r="D855" s="250">
        <f>601894-600957</f>
        <v>937</v>
      </c>
      <c r="E855" s="250">
        <v>468</v>
      </c>
      <c r="F855" s="253">
        <f>+C855+D855-E855</f>
        <v>-600956</v>
      </c>
      <c r="G855" s="251">
        <v>0</v>
      </c>
      <c r="H855" s="256">
        <f>+F855</f>
        <v>-600956</v>
      </c>
    </row>
    <row r="856" spans="1:8" ht="12">
      <c r="A856" s="38">
        <v>40502</v>
      </c>
      <c r="B856" s="35" t="s">
        <v>1617</v>
      </c>
      <c r="C856" s="95">
        <v>-535197</v>
      </c>
      <c r="D856" s="250">
        <f>536562-533832</f>
        <v>2730</v>
      </c>
      <c r="E856" s="250">
        <v>1366</v>
      </c>
      <c r="F856" s="253">
        <f>+C856+D856-E856</f>
        <v>-533833</v>
      </c>
      <c r="G856" s="251">
        <v>0</v>
      </c>
      <c r="H856" s="256">
        <f>+F856</f>
        <v>-533833</v>
      </c>
    </row>
    <row r="857" spans="1:8" s="15" customFormat="1" ht="12">
      <c r="A857" s="38">
        <v>40503</v>
      </c>
      <c r="B857" s="35" t="s">
        <v>1619</v>
      </c>
      <c r="C857" s="95">
        <v>-54569253</v>
      </c>
      <c r="D857" s="250">
        <f>108347195-791310</f>
        <v>107555885</v>
      </c>
      <c r="E857" s="250">
        <v>53777943</v>
      </c>
      <c r="F857" s="253">
        <f>+C857+D857-E857</f>
        <v>-791311</v>
      </c>
      <c r="G857" s="251">
        <v>0</v>
      </c>
      <c r="H857" s="256">
        <f>+F857</f>
        <v>-791311</v>
      </c>
    </row>
    <row r="858" spans="1:8" s="15" customFormat="1" ht="12">
      <c r="A858" s="38">
        <v>40508</v>
      </c>
      <c r="B858" s="35" t="s">
        <v>1618</v>
      </c>
      <c r="C858" s="95">
        <v>-213188700</v>
      </c>
      <c r="D858" s="250">
        <f>213211542-213165859</f>
        <v>45683</v>
      </c>
      <c r="E858" s="250">
        <v>22841</v>
      </c>
      <c r="F858" s="253">
        <f>+C858+D858-E858</f>
        <v>-213165858</v>
      </c>
      <c r="G858" s="251">
        <v>0</v>
      </c>
      <c r="H858" s="256">
        <f>+F858</f>
        <v>-213165858</v>
      </c>
    </row>
    <row r="859" spans="1:8" ht="24">
      <c r="A859" s="36">
        <v>41000</v>
      </c>
      <c r="B859" s="33" t="s">
        <v>2596</v>
      </c>
      <c r="C859" s="91">
        <f>+SUM(C860:C864)</f>
        <v>135141890</v>
      </c>
      <c r="D859" s="251">
        <f>SUM(D860:D864)</f>
        <v>128150999</v>
      </c>
      <c r="E859" s="251">
        <f>SUM(E860:E864)</f>
        <v>256301998</v>
      </c>
      <c r="F859" s="251">
        <f>SUM(F860:F864)</f>
        <v>6990891</v>
      </c>
      <c r="G859" s="251">
        <f>SUM(G860:G864)</f>
        <v>0</v>
      </c>
      <c r="H859" s="256">
        <f>SUM(H860:H864)</f>
        <v>6990891</v>
      </c>
    </row>
    <row r="860" spans="1:8" ht="12">
      <c r="A860" s="38">
        <v>41001</v>
      </c>
      <c r="B860" s="35" t="s">
        <v>1616</v>
      </c>
      <c r="C860" s="95">
        <v>159160</v>
      </c>
      <c r="D860" s="250">
        <v>140488</v>
      </c>
      <c r="E860" s="250">
        <f>299650-18673</f>
        <v>280977</v>
      </c>
      <c r="F860" s="253">
        <f>+C860+D860-E860</f>
        <v>18671</v>
      </c>
      <c r="G860" s="251">
        <v>0</v>
      </c>
      <c r="H860" s="256">
        <f>+F860</f>
        <v>18671</v>
      </c>
    </row>
    <row r="861" spans="1:8" ht="12">
      <c r="A861" s="38">
        <v>41002</v>
      </c>
      <c r="B861" s="35" t="s">
        <v>1617</v>
      </c>
      <c r="C861" s="95">
        <v>83506</v>
      </c>
      <c r="D861" s="250">
        <v>41465</v>
      </c>
      <c r="E861" s="250">
        <f>124970-42041</f>
        <v>82929</v>
      </c>
      <c r="F861" s="253">
        <f>+C861+D861-E861</f>
        <v>42042</v>
      </c>
      <c r="G861" s="251">
        <v>0</v>
      </c>
      <c r="H861" s="256">
        <f>+F861</f>
        <v>42042</v>
      </c>
    </row>
    <row r="862" spans="1:8" ht="12">
      <c r="A862" s="38">
        <v>41003</v>
      </c>
      <c r="B862" s="35" t="s">
        <v>1619</v>
      </c>
      <c r="C862" s="95">
        <v>53897538</v>
      </c>
      <c r="D862" s="250">
        <v>53887467</v>
      </c>
      <c r="E862" s="250">
        <f>107785005-10071</f>
        <v>107774934</v>
      </c>
      <c r="F862" s="253">
        <f>+C862+D862-E862</f>
        <v>10071</v>
      </c>
      <c r="G862" s="251">
        <v>0</v>
      </c>
      <c r="H862" s="256">
        <f>+F862</f>
        <v>10071</v>
      </c>
    </row>
    <row r="863" spans="1:8" s="15" customFormat="1" ht="12">
      <c r="A863" s="38">
        <v>41004</v>
      </c>
      <c r="B863" s="35" t="s">
        <v>2597</v>
      </c>
      <c r="C863" s="95">
        <v>0</v>
      </c>
      <c r="D863" s="250">
        <v>0</v>
      </c>
      <c r="E863" s="250">
        <v>0</v>
      </c>
      <c r="F863" s="253">
        <f>+C863+D863-E863</f>
        <v>0</v>
      </c>
      <c r="G863" s="251">
        <v>0</v>
      </c>
      <c r="H863" s="256">
        <f>+F863</f>
        <v>0</v>
      </c>
    </row>
    <row r="864" spans="1:8" ht="12">
      <c r="A864" s="38">
        <v>41008</v>
      </c>
      <c r="B864" s="35" t="s">
        <v>1618</v>
      </c>
      <c r="C864" s="95">
        <v>81001686</v>
      </c>
      <c r="D864" s="250">
        <v>74081579</v>
      </c>
      <c r="E864" s="250">
        <f>155083264-6920106</f>
        <v>148163158</v>
      </c>
      <c r="F864" s="253">
        <f>+C864+D864-E864</f>
        <v>6920107</v>
      </c>
      <c r="G864" s="251">
        <v>0</v>
      </c>
      <c r="H864" s="256">
        <f>+F864</f>
        <v>6920107</v>
      </c>
    </row>
    <row r="865" spans="1:8" ht="24">
      <c r="A865" s="36">
        <v>41500</v>
      </c>
      <c r="B865" s="33" t="s">
        <v>2598</v>
      </c>
      <c r="C865" s="91">
        <f>+SUM(C866:C869)</f>
        <v>1261703</v>
      </c>
      <c r="D865" s="251">
        <f>SUM(D866:D869)</f>
        <v>1133723</v>
      </c>
      <c r="E865" s="251">
        <f>SUM(E866:E869)</f>
        <v>2267446</v>
      </c>
      <c r="F865" s="251">
        <f>SUM(F866:F869)</f>
        <v>127980</v>
      </c>
      <c r="G865" s="251">
        <f>SUM(G866:G869)</f>
        <v>0</v>
      </c>
      <c r="H865" s="256">
        <f>SUM(H866:H869)</f>
        <v>127980</v>
      </c>
    </row>
    <row r="866" spans="1:8" ht="12">
      <c r="A866" s="38">
        <v>41501</v>
      </c>
      <c r="B866" s="35" t="s">
        <v>2599</v>
      </c>
      <c r="C866" s="95">
        <v>2800</v>
      </c>
      <c r="D866" s="250">
        <v>2800</v>
      </c>
      <c r="E866" s="250">
        <v>5600</v>
      </c>
      <c r="F866" s="253">
        <f>+C866+D866-E866</f>
        <v>0</v>
      </c>
      <c r="G866" s="251">
        <v>0</v>
      </c>
      <c r="H866" s="256">
        <f>+F866</f>
        <v>0</v>
      </c>
    </row>
    <row r="867" spans="1:8" ht="12">
      <c r="A867" s="38">
        <v>41502</v>
      </c>
      <c r="B867" s="35" t="s">
        <v>1617</v>
      </c>
      <c r="C867" s="95">
        <v>8968</v>
      </c>
      <c r="D867" s="250">
        <v>8968</v>
      </c>
      <c r="E867" s="250">
        <v>17936</v>
      </c>
      <c r="F867" s="253">
        <f>+C867+D867-E867</f>
        <v>0</v>
      </c>
      <c r="G867" s="251">
        <v>0</v>
      </c>
      <c r="H867" s="256">
        <f>+F867</f>
        <v>0</v>
      </c>
    </row>
    <row r="868" spans="1:8" s="15" customFormat="1" ht="12">
      <c r="A868" s="38">
        <v>41503</v>
      </c>
      <c r="B868" s="35" t="s">
        <v>1619</v>
      </c>
      <c r="C868" s="95">
        <v>4093</v>
      </c>
      <c r="D868" s="250">
        <v>4093</v>
      </c>
      <c r="E868" s="250">
        <v>8186</v>
      </c>
      <c r="F868" s="253">
        <f>+C868+D868-E868</f>
        <v>0</v>
      </c>
      <c r="G868" s="251">
        <v>0</v>
      </c>
      <c r="H868" s="256">
        <f>+F868</f>
        <v>0</v>
      </c>
    </row>
    <row r="869" spans="1:8" ht="12">
      <c r="A869" s="38">
        <v>41508</v>
      </c>
      <c r="B869" s="35" t="s">
        <v>1618</v>
      </c>
      <c r="C869" s="95">
        <v>1245842</v>
      </c>
      <c r="D869" s="250">
        <v>1117862</v>
      </c>
      <c r="E869" s="250">
        <f>2363704-127980</f>
        <v>2235724</v>
      </c>
      <c r="F869" s="253">
        <f>+C869+D869-E869</f>
        <v>127980</v>
      </c>
      <c r="G869" s="251">
        <v>0</v>
      </c>
      <c r="H869" s="256">
        <f>+F869</f>
        <v>127980</v>
      </c>
    </row>
    <row r="870" spans="1:8" ht="12">
      <c r="A870" s="36">
        <v>42000</v>
      </c>
      <c r="B870" s="33" t="s">
        <v>2600</v>
      </c>
      <c r="C870" s="91">
        <f>+SUM(C871:C875)</f>
        <v>132490982</v>
      </c>
      <c r="D870" s="251">
        <f>SUM(D871:D875)</f>
        <v>75482105</v>
      </c>
      <c r="E870" s="251">
        <f>SUM(E871:E875)</f>
        <v>0</v>
      </c>
      <c r="F870" s="251">
        <f>SUM(F871:F875)</f>
        <v>207973087</v>
      </c>
      <c r="G870" s="251">
        <f>SUM(G871:G875)</f>
        <v>0</v>
      </c>
      <c r="H870" s="256">
        <f>SUM(H871:H875)</f>
        <v>207973087</v>
      </c>
    </row>
    <row r="871" spans="1:8" ht="12">
      <c r="A871" s="38">
        <v>42001</v>
      </c>
      <c r="B871" s="35" t="str">
        <f>+B866</f>
        <v>Servicios Personales</v>
      </c>
      <c r="C871" s="95">
        <v>439464</v>
      </c>
      <c r="D871" s="250">
        <v>142820</v>
      </c>
      <c r="E871" s="250">
        <v>0</v>
      </c>
      <c r="F871" s="253">
        <f>+C871+D871-E871</f>
        <v>582284</v>
      </c>
      <c r="G871" s="251">
        <v>0</v>
      </c>
      <c r="H871" s="256">
        <f>+F871</f>
        <v>582284</v>
      </c>
    </row>
    <row r="872" spans="1:8" ht="12">
      <c r="A872" s="38">
        <v>42002</v>
      </c>
      <c r="B872" s="35" t="s">
        <v>1617</v>
      </c>
      <c r="C872" s="95">
        <v>442723</v>
      </c>
      <c r="D872" s="250">
        <v>49068</v>
      </c>
      <c r="E872" s="250">
        <v>0</v>
      </c>
      <c r="F872" s="253">
        <f>+C872+D872-E872</f>
        <v>491791</v>
      </c>
      <c r="G872" s="251">
        <v>0</v>
      </c>
      <c r="H872" s="256">
        <f>+F872</f>
        <v>491791</v>
      </c>
    </row>
    <row r="873" spans="1:8" s="15" customFormat="1" ht="12">
      <c r="A873" s="38">
        <v>42003</v>
      </c>
      <c r="B873" s="35" t="s">
        <v>1808</v>
      </c>
      <c r="C873" s="95">
        <v>667622</v>
      </c>
      <c r="D873" s="250">
        <v>113618</v>
      </c>
      <c r="E873" s="250">
        <v>0</v>
      </c>
      <c r="F873" s="253">
        <f>+C873+D873-E873</f>
        <v>781240</v>
      </c>
      <c r="G873" s="251">
        <v>0</v>
      </c>
      <c r="H873" s="256">
        <f>+F873</f>
        <v>781240</v>
      </c>
    </row>
    <row r="874" spans="1:8" s="15" customFormat="1" ht="12">
      <c r="A874" s="38">
        <v>42004</v>
      </c>
      <c r="B874" s="35" t="s">
        <v>2597</v>
      </c>
      <c r="C874" s="95">
        <v>0</v>
      </c>
      <c r="D874" s="250">
        <v>0</v>
      </c>
      <c r="E874" s="250">
        <v>0</v>
      </c>
      <c r="F874" s="253">
        <f>+C874+D874-E874</f>
        <v>0</v>
      </c>
      <c r="G874" s="251">
        <v>0</v>
      </c>
      <c r="H874" s="256">
        <f>+F874</f>
        <v>0</v>
      </c>
    </row>
    <row r="875" spans="1:8" ht="12">
      <c r="A875" s="38">
        <v>42008</v>
      </c>
      <c r="B875" s="35" t="s">
        <v>1618</v>
      </c>
      <c r="C875" s="95">
        <v>130941173</v>
      </c>
      <c r="D875" s="250">
        <v>75176599</v>
      </c>
      <c r="E875" s="250">
        <v>0</v>
      </c>
      <c r="F875" s="253">
        <f>+C875+D875-E875</f>
        <v>206117772</v>
      </c>
      <c r="G875" s="251">
        <v>0</v>
      </c>
      <c r="H875" s="256">
        <f>+F875</f>
        <v>206117772</v>
      </c>
    </row>
    <row r="876" spans="1:8" s="15" customFormat="1" ht="12">
      <c r="A876" s="36">
        <v>50000</v>
      </c>
      <c r="B876" s="33" t="s">
        <v>912</v>
      </c>
      <c r="C876" s="91">
        <f>+C877+C882+C887</f>
        <v>0</v>
      </c>
      <c r="D876" s="251">
        <f>D877+D882+D887</f>
        <v>0</v>
      </c>
      <c r="E876" s="251">
        <f>E877+E882+E887</f>
        <v>0</v>
      </c>
      <c r="F876" s="251">
        <f>F877+F882+F887</f>
        <v>0</v>
      </c>
      <c r="G876" s="251">
        <f>G877+G882+G887</f>
        <v>0</v>
      </c>
      <c r="H876" s="256">
        <f>H877+H882+H887</f>
        <v>0</v>
      </c>
    </row>
    <row r="877" spans="1:8" s="15" customFormat="1" ht="12">
      <c r="A877" s="36">
        <v>50500</v>
      </c>
      <c r="B877" s="33" t="s">
        <v>2601</v>
      </c>
      <c r="C877" s="91">
        <f>+SUM(C878:C881)</f>
        <v>-3326617</v>
      </c>
      <c r="D877" s="251">
        <f>SUM(D878:D881)</f>
        <v>0</v>
      </c>
      <c r="E877" s="251">
        <f>SUM(E878:E881)</f>
        <v>0</v>
      </c>
      <c r="F877" s="251">
        <f>SUM(F878:F881)</f>
        <v>-3326617</v>
      </c>
      <c r="G877" s="251">
        <f>SUM(G878:G881)</f>
        <v>0</v>
      </c>
      <c r="H877" s="256">
        <f>SUM(H878:H881)</f>
        <v>-3326617</v>
      </c>
    </row>
    <row r="878" spans="1:8" ht="12">
      <c r="A878" s="38">
        <v>50501</v>
      </c>
      <c r="B878" s="35" t="s">
        <v>1616</v>
      </c>
      <c r="C878" s="95">
        <v>-18222</v>
      </c>
      <c r="D878" s="250">
        <v>0</v>
      </c>
      <c r="E878" s="250">
        <v>0</v>
      </c>
      <c r="F878" s="253">
        <f>+C878+D878-E878</f>
        <v>-18222</v>
      </c>
      <c r="G878" s="251">
        <v>0</v>
      </c>
      <c r="H878" s="256">
        <f>+F878</f>
        <v>-18222</v>
      </c>
    </row>
    <row r="879" spans="1:8" s="15" customFormat="1" ht="12">
      <c r="A879" s="38">
        <v>50502</v>
      </c>
      <c r="B879" s="35" t="s">
        <v>1617</v>
      </c>
      <c r="C879" s="95">
        <v>-89937</v>
      </c>
      <c r="D879" s="250">
        <v>0</v>
      </c>
      <c r="E879" s="250">
        <v>0</v>
      </c>
      <c r="F879" s="253">
        <f>+C879+D879-E879</f>
        <v>-89937</v>
      </c>
      <c r="G879" s="251">
        <v>0</v>
      </c>
      <c r="H879" s="256">
        <f>+F879</f>
        <v>-89937</v>
      </c>
    </row>
    <row r="880" spans="1:8" s="15" customFormat="1" ht="12">
      <c r="A880" s="38">
        <v>50503</v>
      </c>
      <c r="B880" s="35" t="s">
        <v>1619</v>
      </c>
      <c r="C880" s="95">
        <v>-264045</v>
      </c>
      <c r="D880" s="250">
        <v>0</v>
      </c>
      <c r="E880" s="250">
        <v>0</v>
      </c>
      <c r="F880" s="253">
        <f>+C880+D880-E880</f>
        <v>-264045</v>
      </c>
      <c r="G880" s="251">
        <v>0</v>
      </c>
      <c r="H880" s="256">
        <f>+F880</f>
        <v>-264045</v>
      </c>
    </row>
    <row r="881" spans="1:8" ht="12">
      <c r="A881" s="38">
        <v>50508</v>
      </c>
      <c r="B881" s="35" t="s">
        <v>1618</v>
      </c>
      <c r="C881" s="95">
        <v>-2954413</v>
      </c>
      <c r="D881" s="250">
        <v>0</v>
      </c>
      <c r="E881" s="250">
        <v>0</v>
      </c>
      <c r="F881" s="253">
        <f>+C881+D881-E881</f>
        <v>-2954413</v>
      </c>
      <c r="G881" s="251">
        <v>0</v>
      </c>
      <c r="H881" s="256">
        <f>+F881</f>
        <v>-2954413</v>
      </c>
    </row>
    <row r="882" spans="1:8" ht="24">
      <c r="A882" s="36">
        <v>51000</v>
      </c>
      <c r="B882" s="33" t="s">
        <v>2602</v>
      </c>
      <c r="C882" s="91">
        <f>+C883+C884+C885+C886</f>
        <v>2331</v>
      </c>
      <c r="D882" s="251">
        <f>SUM(D883:D886)</f>
        <v>0</v>
      </c>
      <c r="E882" s="251">
        <f>SUM(E883:E886)</f>
        <v>0</v>
      </c>
      <c r="F882" s="251">
        <f>SUM(F883:F886)</f>
        <v>2331</v>
      </c>
      <c r="G882" s="251">
        <f>SUM(G883:G886)</f>
        <v>0</v>
      </c>
      <c r="H882" s="256">
        <f>SUM(H883:H886)</f>
        <v>2331</v>
      </c>
    </row>
    <row r="883" spans="1:8" ht="12">
      <c r="A883" s="38">
        <v>51001</v>
      </c>
      <c r="B883" s="35" t="s">
        <v>1616</v>
      </c>
      <c r="C883" s="95">
        <v>507</v>
      </c>
      <c r="D883" s="250">
        <v>0</v>
      </c>
      <c r="E883" s="250">
        <v>0</v>
      </c>
      <c r="F883" s="253">
        <f>+C883+D883-E883</f>
        <v>507</v>
      </c>
      <c r="G883" s="251">
        <v>0</v>
      </c>
      <c r="H883" s="256">
        <f>+F883</f>
        <v>507</v>
      </c>
    </row>
    <row r="884" spans="1:8" ht="12">
      <c r="A884" s="38">
        <v>51002</v>
      </c>
      <c r="B884" s="35" t="s">
        <v>1617</v>
      </c>
      <c r="C884" s="95">
        <v>1824</v>
      </c>
      <c r="D884" s="250">
        <v>0</v>
      </c>
      <c r="E884" s="250">
        <v>0</v>
      </c>
      <c r="F884" s="253">
        <f>+C884+D884-E884</f>
        <v>1824</v>
      </c>
      <c r="G884" s="251">
        <v>0</v>
      </c>
      <c r="H884" s="256">
        <f>+F884</f>
        <v>1824</v>
      </c>
    </row>
    <row r="885" spans="1:8" ht="12">
      <c r="A885" s="38">
        <v>51003</v>
      </c>
      <c r="B885" s="35" t="s">
        <v>1619</v>
      </c>
      <c r="C885" s="95">
        <v>0</v>
      </c>
      <c r="D885" s="250">
        <v>0</v>
      </c>
      <c r="E885" s="250">
        <v>0</v>
      </c>
      <c r="F885" s="253">
        <f>+C885+D885-E885</f>
        <v>0</v>
      </c>
      <c r="G885" s="251">
        <v>0</v>
      </c>
      <c r="H885" s="256">
        <f>+F885</f>
        <v>0</v>
      </c>
    </row>
    <row r="886" spans="1:8" ht="12">
      <c r="A886" s="38">
        <v>51008</v>
      </c>
      <c r="B886" s="35" t="s">
        <v>2603</v>
      </c>
      <c r="C886" s="95">
        <v>0</v>
      </c>
      <c r="D886" s="250">
        <v>0</v>
      </c>
      <c r="E886" s="250">
        <v>0</v>
      </c>
      <c r="F886" s="253">
        <f>+C886+D886-E886</f>
        <v>0</v>
      </c>
      <c r="G886" s="251">
        <v>0</v>
      </c>
      <c r="H886" s="256">
        <f>+F886</f>
        <v>0</v>
      </c>
    </row>
    <row r="887" spans="1:8" ht="12">
      <c r="A887" s="36">
        <v>51500</v>
      </c>
      <c r="B887" s="33" t="s">
        <v>2604</v>
      </c>
      <c r="C887" s="91">
        <f>+C888+C889+C890+C891</f>
        <v>3324286</v>
      </c>
      <c r="D887" s="251">
        <f>SUM(D888:D891)</f>
        <v>0</v>
      </c>
      <c r="E887" s="251">
        <f>SUM(E888:E891)</f>
        <v>0</v>
      </c>
      <c r="F887" s="251">
        <f>SUM(F888:F891)</f>
        <v>3324286</v>
      </c>
      <c r="G887" s="251">
        <f>SUM(G888:G891)</f>
        <v>0</v>
      </c>
      <c r="H887" s="256">
        <f>SUM(H888:H891)</f>
        <v>3324286</v>
      </c>
    </row>
    <row r="888" spans="1:8" ht="12">
      <c r="A888" s="38">
        <v>51501</v>
      </c>
      <c r="B888" s="35" t="s">
        <v>1616</v>
      </c>
      <c r="C888" s="95">
        <v>17715</v>
      </c>
      <c r="D888" s="250">
        <v>0</v>
      </c>
      <c r="E888" s="250">
        <v>0</v>
      </c>
      <c r="F888" s="253">
        <f>+C888+D888-E888</f>
        <v>17715</v>
      </c>
      <c r="G888" s="251">
        <v>0</v>
      </c>
      <c r="H888" s="256">
        <f>+F888</f>
        <v>17715</v>
      </c>
    </row>
    <row r="889" spans="1:8" ht="12">
      <c r="A889" s="38">
        <v>51502</v>
      </c>
      <c r="B889" s="35" t="s">
        <v>1617</v>
      </c>
      <c r="C889" s="95">
        <v>88113</v>
      </c>
      <c r="D889" s="250">
        <v>0</v>
      </c>
      <c r="E889" s="250">
        <v>0</v>
      </c>
      <c r="F889" s="253">
        <f>+C889+D889-E889</f>
        <v>88113</v>
      </c>
      <c r="G889" s="251">
        <v>0</v>
      </c>
      <c r="H889" s="256">
        <f>+F889</f>
        <v>88113</v>
      </c>
    </row>
    <row r="890" spans="1:8" ht="12">
      <c r="A890" s="38">
        <v>51503</v>
      </c>
      <c r="B890" s="35" t="s">
        <v>1619</v>
      </c>
      <c r="C890" s="95">
        <v>264045</v>
      </c>
      <c r="D890" s="250">
        <v>0</v>
      </c>
      <c r="E890" s="250">
        <v>0</v>
      </c>
      <c r="F890" s="253">
        <f>+C890+D890-E890</f>
        <v>264045</v>
      </c>
      <c r="G890" s="251">
        <v>0</v>
      </c>
      <c r="H890" s="256">
        <f>+F890</f>
        <v>264045</v>
      </c>
    </row>
    <row r="891" spans="1:8" ht="12">
      <c r="A891" s="38">
        <v>51508</v>
      </c>
      <c r="B891" s="35" t="s">
        <v>1618</v>
      </c>
      <c r="C891" s="95">
        <v>2954413</v>
      </c>
      <c r="D891" s="250">
        <v>0</v>
      </c>
      <c r="E891" s="250">
        <v>0</v>
      </c>
      <c r="F891" s="253">
        <f>+C891+D891-E891</f>
        <v>2954413</v>
      </c>
      <c r="G891" s="251">
        <v>0</v>
      </c>
      <c r="H891" s="256">
        <f>+F891</f>
        <v>2954413</v>
      </c>
    </row>
    <row r="892" spans="1:8" ht="24">
      <c r="A892" s="36">
        <v>70000</v>
      </c>
      <c r="B892" s="33" t="s">
        <v>2605</v>
      </c>
      <c r="C892" s="91">
        <f>+C893</f>
        <v>-407862467</v>
      </c>
      <c r="D892" s="251">
        <f>D893</f>
        <v>407862467</v>
      </c>
      <c r="E892" s="251">
        <f>E893</f>
        <v>4342483000</v>
      </c>
      <c r="F892" s="251">
        <f aca="true" t="shared" si="165" ref="F892:H893">F893</f>
        <v>-4342483000</v>
      </c>
      <c r="G892" s="251">
        <f t="shared" si="165"/>
        <v>0</v>
      </c>
      <c r="H892" s="256">
        <f t="shared" si="165"/>
        <v>-4342483000</v>
      </c>
    </row>
    <row r="893" spans="1:8" ht="12">
      <c r="A893" s="36">
        <v>70200</v>
      </c>
      <c r="B893" s="33" t="s">
        <v>2606</v>
      </c>
      <c r="C893" s="91">
        <f>+C894</f>
        <v>-407862467</v>
      </c>
      <c r="D893" s="251">
        <f>D894</f>
        <v>407862467</v>
      </c>
      <c r="E893" s="251">
        <f>E894</f>
        <v>4342483000</v>
      </c>
      <c r="F893" s="251">
        <f t="shared" si="165"/>
        <v>-4342483000</v>
      </c>
      <c r="G893" s="251">
        <f t="shared" si="165"/>
        <v>0</v>
      </c>
      <c r="H893" s="256">
        <f t="shared" si="165"/>
        <v>-4342483000</v>
      </c>
    </row>
    <row r="894" spans="1:8" ht="24">
      <c r="A894" s="38">
        <v>70202</v>
      </c>
      <c r="B894" s="35" t="s">
        <v>2607</v>
      </c>
      <c r="C894" s="95">
        <v>-407862467</v>
      </c>
      <c r="D894" s="250">
        <v>407862467</v>
      </c>
      <c r="E894" s="250">
        <v>4342483000</v>
      </c>
      <c r="F894" s="253">
        <f>+C894+D894-E894</f>
        <v>-4342483000</v>
      </c>
      <c r="G894" s="251">
        <v>0</v>
      </c>
      <c r="H894" s="256">
        <f>+F894</f>
        <v>-4342483000</v>
      </c>
    </row>
    <row r="895" spans="1:8" ht="24">
      <c r="A895" s="36">
        <v>80000</v>
      </c>
      <c r="B895" s="33" t="s">
        <v>2608</v>
      </c>
      <c r="C895" s="91">
        <f>+C896</f>
        <v>257183443</v>
      </c>
      <c r="D895" s="251">
        <f>D896</f>
        <v>4342483000</v>
      </c>
      <c r="E895" s="251">
        <f>E896</f>
        <v>257183443</v>
      </c>
      <c r="F895" s="251">
        <f aca="true" t="shared" si="166" ref="F895:H896">F896</f>
        <v>4342483000</v>
      </c>
      <c r="G895" s="251">
        <f t="shared" si="166"/>
        <v>0</v>
      </c>
      <c r="H895" s="256">
        <f t="shared" si="166"/>
        <v>4342483000</v>
      </c>
    </row>
    <row r="896" spans="1:8" ht="12">
      <c r="A896" s="36">
        <v>80200</v>
      </c>
      <c r="B896" s="33" t="s">
        <v>2606</v>
      </c>
      <c r="C896" s="91">
        <f>+C897</f>
        <v>257183443</v>
      </c>
      <c r="D896" s="251">
        <f>D897</f>
        <v>4342483000</v>
      </c>
      <c r="E896" s="251">
        <f>E897</f>
        <v>257183443</v>
      </c>
      <c r="F896" s="251">
        <f t="shared" si="166"/>
        <v>4342483000</v>
      </c>
      <c r="G896" s="251">
        <f t="shared" si="166"/>
        <v>0</v>
      </c>
      <c r="H896" s="256">
        <f t="shared" si="166"/>
        <v>4342483000</v>
      </c>
    </row>
    <row r="897" spans="1:8" ht="24">
      <c r="A897" s="38">
        <v>80202</v>
      </c>
      <c r="B897" s="35" t="s">
        <v>2607</v>
      </c>
      <c r="C897" s="95">
        <v>257183443</v>
      </c>
      <c r="D897" s="250">
        <v>4342483000</v>
      </c>
      <c r="E897" s="250">
        <v>257183443</v>
      </c>
      <c r="F897" s="253">
        <f>+C897+D897-E897</f>
        <v>4342483000</v>
      </c>
      <c r="G897" s="251">
        <v>0</v>
      </c>
      <c r="H897" s="256">
        <f>+F897</f>
        <v>4342483000</v>
      </c>
    </row>
    <row r="898" spans="1:8" ht="24">
      <c r="A898" s="36">
        <v>90000</v>
      </c>
      <c r="B898" s="33" t="s">
        <v>2605</v>
      </c>
      <c r="C898" s="91">
        <f>+C899</f>
        <v>150679024</v>
      </c>
      <c r="D898" s="251">
        <f>D899</f>
        <v>0</v>
      </c>
      <c r="E898" s="251">
        <f>E899</f>
        <v>150679024</v>
      </c>
      <c r="F898" s="251">
        <f aca="true" t="shared" si="167" ref="F898:H899">F899</f>
        <v>0</v>
      </c>
      <c r="G898" s="251">
        <f t="shared" si="167"/>
        <v>0</v>
      </c>
      <c r="H898" s="256">
        <f t="shared" si="167"/>
        <v>0</v>
      </c>
    </row>
    <row r="899" spans="1:8" ht="12">
      <c r="A899" s="36">
        <v>90200</v>
      </c>
      <c r="B899" s="33" t="s">
        <v>2606</v>
      </c>
      <c r="C899" s="91">
        <f>+C900</f>
        <v>150679024</v>
      </c>
      <c r="D899" s="251">
        <f>D900</f>
        <v>0</v>
      </c>
      <c r="E899" s="251">
        <f>E900</f>
        <v>150679024</v>
      </c>
      <c r="F899" s="251">
        <f t="shared" si="167"/>
        <v>0</v>
      </c>
      <c r="G899" s="251">
        <f t="shared" si="167"/>
        <v>0</v>
      </c>
      <c r="H899" s="256">
        <f t="shared" si="167"/>
        <v>0</v>
      </c>
    </row>
    <row r="900" spans="1:8" ht="24.75" thickBot="1">
      <c r="A900" s="40">
        <v>90202</v>
      </c>
      <c r="B900" s="41" t="s">
        <v>2607</v>
      </c>
      <c r="C900" s="258">
        <v>150679024</v>
      </c>
      <c r="D900" s="259">
        <v>0</v>
      </c>
      <c r="E900" s="259">
        <v>150679024</v>
      </c>
      <c r="F900" s="260">
        <f>+C900+D900-E900</f>
        <v>0</v>
      </c>
      <c r="G900" s="261">
        <v>0</v>
      </c>
      <c r="H900" s="262">
        <f>+F900</f>
        <v>0</v>
      </c>
    </row>
    <row r="904" ht="12"/>
    <row r="905" spans="1:8" ht="12">
      <c r="A905" s="288" t="s">
        <v>2609</v>
      </c>
      <c r="B905" s="288"/>
      <c r="C905" s="288"/>
      <c r="D905" s="288"/>
      <c r="E905" s="283" t="s">
        <v>2610</v>
      </c>
      <c r="F905" s="283"/>
      <c r="G905" s="283"/>
      <c r="H905" s="283"/>
    </row>
    <row r="906" spans="1:8" ht="12">
      <c r="A906" s="284" t="s">
        <v>2611</v>
      </c>
      <c r="B906" s="284"/>
      <c r="C906" s="284"/>
      <c r="D906" s="284"/>
      <c r="E906" s="285" t="s">
        <v>2612</v>
      </c>
      <c r="F906" s="285"/>
      <c r="G906" s="285"/>
      <c r="H906" s="285"/>
    </row>
    <row r="907" spans="1:8" ht="12">
      <c r="A907" s="42"/>
      <c r="B907" s="43"/>
      <c r="C907" s="44"/>
      <c r="D907" s="45"/>
      <c r="E907" s="42"/>
      <c r="F907" s="42"/>
      <c r="G907" s="42"/>
      <c r="H907" s="42"/>
    </row>
    <row r="908" spans="1:8" ht="12">
      <c r="A908" s="42"/>
      <c r="B908" s="43"/>
      <c r="C908" s="44"/>
      <c r="D908" s="44"/>
      <c r="E908" s="42"/>
      <c r="F908" s="42"/>
      <c r="G908" s="44"/>
      <c r="H908" s="44"/>
    </row>
    <row r="909" spans="1:8" ht="12">
      <c r="A909" s="42"/>
      <c r="B909" s="43"/>
      <c r="C909" s="44"/>
      <c r="D909" s="44"/>
      <c r="E909" s="42"/>
      <c r="F909" s="42"/>
      <c r="G909" s="44"/>
      <c r="H909" s="44"/>
    </row>
    <row r="910" spans="1:8" ht="12">
      <c r="A910" s="286" t="s">
        <v>2613</v>
      </c>
      <c r="B910" s="286"/>
      <c r="C910" s="286"/>
      <c r="D910" s="286"/>
      <c r="E910" s="42"/>
      <c r="F910" s="42"/>
      <c r="G910" s="44"/>
      <c r="H910" s="44"/>
    </row>
    <row r="911" spans="1:8" ht="12">
      <c r="A911" s="287" t="s">
        <v>2614</v>
      </c>
      <c r="B911" s="287"/>
      <c r="C911" s="287"/>
      <c r="D911" s="287"/>
      <c r="E911" s="42"/>
      <c r="F911" s="42"/>
      <c r="G911" s="44"/>
      <c r="H911" s="44"/>
    </row>
    <row r="912" spans="1:8" ht="12">
      <c r="A912" s="287" t="s">
        <v>2615</v>
      </c>
      <c r="B912" s="287"/>
      <c r="C912" s="287"/>
      <c r="D912" s="287"/>
      <c r="E912" s="42"/>
      <c r="F912" s="42"/>
      <c r="G912" s="44"/>
      <c r="H912" s="44"/>
    </row>
    <row r="913" ht="12">
      <c r="D913" s="46"/>
    </row>
    <row r="918" ht="12">
      <c r="D918" s="46"/>
    </row>
    <row r="919" ht="12">
      <c r="D919" s="46"/>
    </row>
    <row r="921" ht="12">
      <c r="D921" s="46"/>
    </row>
    <row r="922" ht="12">
      <c r="D922" s="46"/>
    </row>
    <row r="924" ht="12">
      <c r="D924" s="46"/>
    </row>
    <row r="925" ht="12">
      <c r="D925" s="46"/>
    </row>
  </sheetData>
  <sheetProtection password="8D25" sheet="1" formatCells="0" formatColumns="0" formatRows="0" insertColumns="0" insertRows="0" insertHyperlinks="0" deleteColumns="0" deleteRows="0" sort="0" autoFilter="0" pivotTables="0"/>
  <mergeCells count="20">
    <mergeCell ref="A910:D910"/>
    <mergeCell ref="A911:D911"/>
    <mergeCell ref="A912:D912"/>
    <mergeCell ref="H9:H10"/>
    <mergeCell ref="A905:D905"/>
    <mergeCell ref="E905:H905"/>
    <mergeCell ref="A906:D906"/>
    <mergeCell ref="E906:H906"/>
    <mergeCell ref="C9:C10"/>
    <mergeCell ref="D9:E9"/>
    <mergeCell ref="F9:F10"/>
    <mergeCell ref="G9:G10"/>
    <mergeCell ref="A4:C4"/>
    <mergeCell ref="A5:C5"/>
    <mergeCell ref="A6:C6"/>
    <mergeCell ref="D7:H7"/>
    <mergeCell ref="A1:C1"/>
    <mergeCell ref="G1:H1"/>
    <mergeCell ref="A2:C2"/>
    <mergeCell ref="A3:C3"/>
  </mergeCells>
  <printOptions/>
  <pageMargins left="0.75" right="0.75" top="1" bottom="1" header="0" footer="0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3226"/>
  <sheetViews>
    <sheetView workbookViewId="0" topLeftCell="A1">
      <selection activeCell="B17" sqref="B17"/>
    </sheetView>
  </sheetViews>
  <sheetFormatPr defaultColWidth="11.421875" defaultRowHeight="12.75"/>
  <cols>
    <col min="1" max="1" width="7.57421875" style="85" bestFit="1" customWidth="1"/>
    <col min="2" max="2" width="49.57421875" style="83" bestFit="1" customWidth="1"/>
    <col min="3" max="3" width="11.140625" style="137" customWidth="1"/>
    <col min="4" max="4" width="45.00390625" style="83" bestFit="1" customWidth="1"/>
    <col min="5" max="5" width="10.8515625" style="86" bestFit="1" customWidth="1"/>
    <col min="6" max="6" width="13.28125" style="85" bestFit="1" customWidth="1"/>
    <col min="7" max="16384" width="11.421875" style="85" customWidth="1"/>
  </cols>
  <sheetData>
    <row r="1" spans="1:6" ht="12">
      <c r="A1" s="289" t="s">
        <v>3424</v>
      </c>
      <c r="B1" s="289"/>
      <c r="C1" s="289"/>
      <c r="E1" s="300" t="s">
        <v>241</v>
      </c>
      <c r="F1" s="300"/>
    </row>
    <row r="2" spans="1:6" ht="12">
      <c r="A2" s="289" t="s">
        <v>3426</v>
      </c>
      <c r="B2" s="289"/>
      <c r="C2" s="289"/>
      <c r="E2" s="84"/>
      <c r="F2" s="84" t="s">
        <v>3427</v>
      </c>
    </row>
    <row r="3" spans="1:6" ht="12">
      <c r="A3" s="289" t="s">
        <v>3428</v>
      </c>
      <c r="B3" s="289"/>
      <c r="C3" s="289"/>
      <c r="F3" s="268" t="s">
        <v>538</v>
      </c>
    </row>
    <row r="4" spans="1:3" ht="12">
      <c r="A4" s="289" t="s">
        <v>3429</v>
      </c>
      <c r="B4" s="289"/>
      <c r="C4" s="289"/>
    </row>
    <row r="5" spans="1:3" ht="12">
      <c r="A5" s="289" t="s">
        <v>3430</v>
      </c>
      <c r="B5" s="289"/>
      <c r="C5" s="289"/>
    </row>
    <row r="6" spans="1:3" ht="12">
      <c r="A6" s="289" t="s">
        <v>3431</v>
      </c>
      <c r="B6" s="289"/>
      <c r="C6" s="289"/>
    </row>
    <row r="7" spans="2:6" ht="12">
      <c r="B7" s="269" t="s">
        <v>3432</v>
      </c>
      <c r="C7" s="269"/>
      <c r="D7" s="269"/>
      <c r="E7" s="269"/>
      <c r="F7" s="269"/>
    </row>
    <row r="8" spans="2:6" ht="12">
      <c r="B8" s="8"/>
      <c r="C8" s="8"/>
      <c r="D8" s="8"/>
      <c r="E8" s="8"/>
      <c r="F8" s="8"/>
    </row>
    <row r="9" spans="1:6" s="4" customFormat="1" ht="12">
      <c r="A9" s="310" t="s">
        <v>242</v>
      </c>
      <c r="B9" s="311" t="s">
        <v>3433</v>
      </c>
      <c r="C9" s="310" t="s">
        <v>243</v>
      </c>
      <c r="D9" s="311" t="s">
        <v>244</v>
      </c>
      <c r="E9" s="310" t="s">
        <v>245</v>
      </c>
      <c r="F9" s="310" t="s">
        <v>3438</v>
      </c>
    </row>
    <row r="10" spans="1:6" s="4" customFormat="1" ht="12">
      <c r="A10" s="89">
        <v>120101</v>
      </c>
      <c r="B10" s="90" t="s">
        <v>246</v>
      </c>
      <c r="C10" s="87"/>
      <c r="D10" s="88"/>
      <c r="E10" s="91">
        <f>+E11</f>
        <v>69603813</v>
      </c>
      <c r="F10" s="87"/>
    </row>
    <row r="11" spans="1:6" s="4" customFormat="1" ht="12">
      <c r="A11" s="92">
        <v>120101</v>
      </c>
      <c r="B11" s="93" t="s">
        <v>246</v>
      </c>
      <c r="C11" s="94">
        <v>11500000</v>
      </c>
      <c r="D11" s="93" t="s">
        <v>247</v>
      </c>
      <c r="E11" s="95">
        <v>69603813</v>
      </c>
      <c r="F11" s="35">
        <v>0</v>
      </c>
    </row>
    <row r="12" spans="1:6" s="4" customFormat="1" ht="9" customHeight="1">
      <c r="A12" s="96"/>
      <c r="B12" s="97"/>
      <c r="C12" s="98"/>
      <c r="D12" s="97"/>
      <c r="E12" s="99"/>
      <c r="F12" s="100"/>
    </row>
    <row r="13" spans="1:6" s="4" customFormat="1" ht="12">
      <c r="A13" s="89">
        <v>120106</v>
      </c>
      <c r="B13" s="90" t="s">
        <v>248</v>
      </c>
      <c r="C13" s="94"/>
      <c r="D13" s="93"/>
      <c r="E13" s="91">
        <f>+E14</f>
        <v>148291384</v>
      </c>
      <c r="F13" s="35"/>
    </row>
    <row r="14" spans="1:6" s="4" customFormat="1" ht="12">
      <c r="A14" s="92">
        <v>120106</v>
      </c>
      <c r="B14" s="93" t="s">
        <v>248</v>
      </c>
      <c r="C14" s="94">
        <v>11500000</v>
      </c>
      <c r="D14" s="93" t="s">
        <v>247</v>
      </c>
      <c r="E14" s="95">
        <v>148291384</v>
      </c>
      <c r="F14" s="35">
        <v>0</v>
      </c>
    </row>
    <row r="15" spans="1:6" s="4" customFormat="1" ht="7.5" customHeight="1">
      <c r="A15" s="96"/>
      <c r="B15" s="97"/>
      <c r="C15" s="98"/>
      <c r="D15" s="97"/>
      <c r="E15" s="99"/>
      <c r="F15" s="100"/>
    </row>
    <row r="16" spans="1:6" s="4" customFormat="1" ht="12">
      <c r="A16" s="89">
        <v>120115</v>
      </c>
      <c r="B16" s="90" t="s">
        <v>249</v>
      </c>
      <c r="C16" s="94"/>
      <c r="D16" s="93"/>
      <c r="E16" s="91">
        <f>+E17</f>
        <v>5111087</v>
      </c>
      <c r="F16" s="35"/>
    </row>
    <row r="17" spans="1:6" s="4" customFormat="1" ht="12">
      <c r="A17" s="92">
        <v>120115</v>
      </c>
      <c r="B17" s="93" t="s">
        <v>249</v>
      </c>
      <c r="C17" s="94">
        <v>11500000</v>
      </c>
      <c r="D17" s="93" t="s">
        <v>247</v>
      </c>
      <c r="E17" s="95">
        <v>5111087</v>
      </c>
      <c r="F17" s="35">
        <v>0</v>
      </c>
    </row>
    <row r="18" spans="1:6" s="4" customFormat="1" ht="8.25" customHeight="1">
      <c r="A18" s="96"/>
      <c r="B18" s="97"/>
      <c r="C18" s="98"/>
      <c r="D18" s="97"/>
      <c r="E18" s="99"/>
      <c r="F18" s="100"/>
    </row>
    <row r="19" spans="1:6" s="4" customFormat="1" ht="12">
      <c r="A19" s="101">
        <v>140414</v>
      </c>
      <c r="B19" s="90" t="s">
        <v>250</v>
      </c>
      <c r="C19" s="94"/>
      <c r="D19" s="93"/>
      <c r="E19" s="91">
        <f>+SUM(E20:E780)</f>
        <v>2758852</v>
      </c>
      <c r="F19" s="35"/>
    </row>
    <row r="20" spans="1:6" s="4" customFormat="1" ht="12">
      <c r="A20" s="102">
        <v>140414</v>
      </c>
      <c r="B20" s="93" t="s">
        <v>250</v>
      </c>
      <c r="C20" s="103">
        <v>210405004</v>
      </c>
      <c r="D20" s="104" t="s">
        <v>251</v>
      </c>
      <c r="E20" s="95">
        <v>126</v>
      </c>
      <c r="F20" s="35">
        <v>0</v>
      </c>
    </row>
    <row r="21" spans="1:6" s="4" customFormat="1" ht="12">
      <c r="A21" s="102">
        <v>140414</v>
      </c>
      <c r="B21" s="93" t="s">
        <v>250</v>
      </c>
      <c r="C21" s="103">
        <v>210650006</v>
      </c>
      <c r="D21" s="105" t="s">
        <v>252</v>
      </c>
      <c r="E21" s="95">
        <v>969</v>
      </c>
      <c r="F21" s="35">
        <v>0</v>
      </c>
    </row>
    <row r="22" spans="1:6" s="4" customFormat="1" ht="12">
      <c r="A22" s="102">
        <v>140414</v>
      </c>
      <c r="B22" s="93" t="s">
        <v>250</v>
      </c>
      <c r="C22" s="94">
        <v>210641006</v>
      </c>
      <c r="D22" s="105" t="s">
        <v>253</v>
      </c>
      <c r="E22" s="95">
        <v>189</v>
      </c>
      <c r="F22" s="35">
        <v>0</v>
      </c>
    </row>
    <row r="23" spans="1:6" s="4" customFormat="1" ht="12">
      <c r="A23" s="102">
        <v>140414</v>
      </c>
      <c r="B23" s="93" t="s">
        <v>250</v>
      </c>
      <c r="C23" s="94">
        <v>211341013</v>
      </c>
      <c r="D23" s="105" t="s">
        <v>254</v>
      </c>
      <c r="E23" s="95">
        <v>152</v>
      </c>
      <c r="F23" s="35">
        <v>0</v>
      </c>
    </row>
    <row r="24" spans="1:6" s="4" customFormat="1" ht="12">
      <c r="A24" s="102">
        <v>140414</v>
      </c>
      <c r="B24" s="93" t="s">
        <v>250</v>
      </c>
      <c r="C24" s="94">
        <v>210125001</v>
      </c>
      <c r="D24" s="105" t="s">
        <v>255</v>
      </c>
      <c r="E24" s="95">
        <v>256</v>
      </c>
      <c r="F24" s="35">
        <v>0</v>
      </c>
    </row>
    <row r="25" spans="1:6" s="4" customFormat="1" ht="12">
      <c r="A25" s="102">
        <v>140414</v>
      </c>
      <c r="B25" s="93" t="s">
        <v>250</v>
      </c>
      <c r="C25" s="94">
        <v>211368013</v>
      </c>
      <c r="D25" s="105" t="s">
        <v>256</v>
      </c>
      <c r="E25" s="95">
        <v>123</v>
      </c>
      <c r="F25" s="35">
        <v>0</v>
      </c>
    </row>
    <row r="26" spans="1:6" s="4" customFormat="1" ht="12">
      <c r="A26" s="102">
        <v>140414</v>
      </c>
      <c r="B26" s="93" t="s">
        <v>250</v>
      </c>
      <c r="C26" s="94">
        <v>211317013</v>
      </c>
      <c r="D26" s="105" t="s">
        <v>257</v>
      </c>
      <c r="E26" s="95">
        <v>258</v>
      </c>
      <c r="F26" s="35">
        <v>0</v>
      </c>
    </row>
    <row r="27" spans="1:6" s="4" customFormat="1" ht="12">
      <c r="A27" s="102">
        <v>140414</v>
      </c>
      <c r="B27" s="93" t="s">
        <v>250</v>
      </c>
      <c r="C27" s="94">
        <v>211085010</v>
      </c>
      <c r="D27" s="105" t="s">
        <v>258</v>
      </c>
      <c r="E27" s="95">
        <v>724</v>
      </c>
      <c r="F27" s="35">
        <v>0</v>
      </c>
    </row>
    <row r="28" spans="1:6" s="4" customFormat="1" ht="12">
      <c r="A28" s="102">
        <v>140414</v>
      </c>
      <c r="B28" s="93" t="s">
        <v>250</v>
      </c>
      <c r="C28" s="94">
        <v>211641016</v>
      </c>
      <c r="D28" s="105" t="s">
        <v>259</v>
      </c>
      <c r="E28" s="95">
        <v>245</v>
      </c>
      <c r="F28" s="35">
        <v>0</v>
      </c>
    </row>
    <row r="29" spans="1:6" s="4" customFormat="1" ht="12">
      <c r="A29" s="102">
        <v>140414</v>
      </c>
      <c r="B29" s="93" t="s">
        <v>250</v>
      </c>
      <c r="C29" s="94">
        <v>211925019</v>
      </c>
      <c r="D29" s="105" t="s">
        <v>260</v>
      </c>
      <c r="E29" s="95">
        <v>187</v>
      </c>
      <c r="F29" s="35">
        <v>0</v>
      </c>
    </row>
    <row r="30" spans="1:6" s="4" customFormat="1" ht="12">
      <c r="A30" s="102">
        <v>140414</v>
      </c>
      <c r="B30" s="93" t="s">
        <v>250</v>
      </c>
      <c r="C30" s="94">
        <v>212918029</v>
      </c>
      <c r="D30" s="105" t="s">
        <v>261</v>
      </c>
      <c r="E30" s="95">
        <v>6</v>
      </c>
      <c r="F30" s="35">
        <v>0</v>
      </c>
    </row>
    <row r="31" spans="1:6" s="4" customFormat="1" ht="12">
      <c r="A31" s="102">
        <v>140414</v>
      </c>
      <c r="B31" s="93" t="s">
        <v>250</v>
      </c>
      <c r="C31" s="94">
        <v>213544035</v>
      </c>
      <c r="D31" s="105" t="s">
        <v>262</v>
      </c>
      <c r="E31" s="95">
        <v>78</v>
      </c>
      <c r="F31" s="35">
        <v>0</v>
      </c>
    </row>
    <row r="32" spans="1:6" s="4" customFormat="1" ht="12">
      <c r="A32" s="102">
        <v>140414</v>
      </c>
      <c r="B32" s="93" t="s">
        <v>250</v>
      </c>
      <c r="C32" s="94">
        <v>212076020</v>
      </c>
      <c r="D32" s="105" t="s">
        <v>263</v>
      </c>
      <c r="E32" s="95">
        <v>275</v>
      </c>
      <c r="F32" s="35">
        <v>0</v>
      </c>
    </row>
    <row r="33" spans="1:6" s="4" customFormat="1" ht="12">
      <c r="A33" s="102">
        <v>140414</v>
      </c>
      <c r="B33" s="93" t="s">
        <v>250</v>
      </c>
      <c r="C33" s="103" t="s">
        <v>264</v>
      </c>
      <c r="D33" s="105" t="s">
        <v>265</v>
      </c>
      <c r="E33" s="95">
        <v>212</v>
      </c>
      <c r="F33" s="35">
        <v>0</v>
      </c>
    </row>
    <row r="34" spans="1:6" s="4" customFormat="1" ht="12">
      <c r="A34" s="102">
        <v>140414</v>
      </c>
      <c r="B34" s="93" t="s">
        <v>250</v>
      </c>
      <c r="C34" s="103" t="s">
        <v>266</v>
      </c>
      <c r="D34" s="105" t="s">
        <v>267</v>
      </c>
      <c r="E34" s="95">
        <v>143</v>
      </c>
      <c r="F34" s="35">
        <v>0</v>
      </c>
    </row>
    <row r="35" spans="1:6" s="4" customFormat="1" ht="12">
      <c r="A35" s="102">
        <v>140414</v>
      </c>
      <c r="B35" s="93" t="s">
        <v>250</v>
      </c>
      <c r="C35" s="94">
        <v>212041020</v>
      </c>
      <c r="D35" s="105" t="s">
        <v>268</v>
      </c>
      <c r="E35" s="95">
        <v>185</v>
      </c>
      <c r="F35" s="35">
        <v>0</v>
      </c>
    </row>
    <row r="36" spans="1:6" s="4" customFormat="1" ht="12">
      <c r="A36" s="102">
        <v>140414</v>
      </c>
      <c r="B36" s="93" t="s">
        <v>250</v>
      </c>
      <c r="C36" s="103" t="s">
        <v>269</v>
      </c>
      <c r="D36" s="105" t="s">
        <v>270</v>
      </c>
      <c r="E36" s="95">
        <v>114</v>
      </c>
      <c r="F36" s="35">
        <v>0</v>
      </c>
    </row>
    <row r="37" spans="1:6" s="4" customFormat="1" ht="12">
      <c r="A37" s="102">
        <v>140414</v>
      </c>
      <c r="B37" s="93" t="s">
        <v>250</v>
      </c>
      <c r="C37" s="103">
        <v>212473024</v>
      </c>
      <c r="D37" s="105" t="s">
        <v>271</v>
      </c>
      <c r="E37" s="95">
        <v>171</v>
      </c>
      <c r="F37" s="35">
        <v>0</v>
      </c>
    </row>
    <row r="38" spans="1:6" s="4" customFormat="1" ht="12">
      <c r="A38" s="102">
        <v>140414</v>
      </c>
      <c r="B38" s="93" t="s">
        <v>250</v>
      </c>
      <c r="C38" s="94">
        <v>212641026</v>
      </c>
      <c r="D38" s="105" t="s">
        <v>272</v>
      </c>
      <c r="E38" s="95">
        <v>112</v>
      </c>
      <c r="F38" s="35">
        <v>0</v>
      </c>
    </row>
    <row r="39" spans="1:6" s="4" customFormat="1" ht="12">
      <c r="A39" s="102">
        <v>140414</v>
      </c>
      <c r="B39" s="93" t="s">
        <v>250</v>
      </c>
      <c r="C39" s="103">
        <v>212673026</v>
      </c>
      <c r="D39" s="105" t="s">
        <v>273</v>
      </c>
      <c r="E39" s="95">
        <v>131</v>
      </c>
      <c r="F39" s="35">
        <v>0</v>
      </c>
    </row>
    <row r="40" spans="1:6" s="4" customFormat="1" ht="12">
      <c r="A40" s="102">
        <v>140414</v>
      </c>
      <c r="B40" s="93" t="s">
        <v>250</v>
      </c>
      <c r="C40" s="103" t="s">
        <v>274</v>
      </c>
      <c r="D40" s="105" t="s">
        <v>275</v>
      </c>
      <c r="E40" s="95">
        <v>410</v>
      </c>
      <c r="F40" s="35">
        <v>0</v>
      </c>
    </row>
    <row r="41" spans="1:6" s="4" customFormat="1" ht="12">
      <c r="A41" s="102">
        <v>140414</v>
      </c>
      <c r="B41" s="93" t="s">
        <v>250</v>
      </c>
      <c r="C41" s="103" t="s">
        <v>276</v>
      </c>
      <c r="D41" s="105" t="s">
        <v>277</v>
      </c>
      <c r="E41" s="95">
        <v>35</v>
      </c>
      <c r="F41" s="35">
        <v>0</v>
      </c>
    </row>
    <row r="42" spans="1:6" s="4" customFormat="1" ht="12">
      <c r="A42" s="102">
        <v>140414</v>
      </c>
      <c r="B42" s="93" t="s">
        <v>250</v>
      </c>
      <c r="C42" s="103">
        <v>213073030</v>
      </c>
      <c r="D42" s="105" t="s">
        <v>278</v>
      </c>
      <c r="E42" s="95">
        <v>171</v>
      </c>
      <c r="F42" s="35">
        <v>0</v>
      </c>
    </row>
    <row r="43" spans="1:6" s="4" customFormat="1" ht="12">
      <c r="A43" s="102">
        <v>140414</v>
      </c>
      <c r="B43" s="93" t="s">
        <v>250</v>
      </c>
      <c r="C43" s="103" t="s">
        <v>279</v>
      </c>
      <c r="D43" s="105" t="s">
        <v>280</v>
      </c>
      <c r="E43" s="95">
        <v>781</v>
      </c>
      <c r="F43" s="35">
        <v>0</v>
      </c>
    </row>
    <row r="44" spans="1:6" s="4" customFormat="1" ht="12">
      <c r="A44" s="102">
        <v>140414</v>
      </c>
      <c r="B44" s="93" t="s">
        <v>250</v>
      </c>
      <c r="C44" s="103">
        <v>213676036</v>
      </c>
      <c r="D44" s="105" t="s">
        <v>281</v>
      </c>
      <c r="E44" s="95">
        <v>387</v>
      </c>
      <c r="F44" s="35">
        <v>0</v>
      </c>
    </row>
    <row r="45" spans="1:6" s="4" customFormat="1" ht="12">
      <c r="A45" s="102">
        <v>140414</v>
      </c>
      <c r="B45" s="93" t="s">
        <v>250</v>
      </c>
      <c r="C45" s="103">
        <v>213605036</v>
      </c>
      <c r="D45" s="105" t="s">
        <v>282</v>
      </c>
      <c r="E45" s="95">
        <v>256</v>
      </c>
      <c r="F45" s="35">
        <v>0</v>
      </c>
    </row>
    <row r="46" spans="1:6" s="4" customFormat="1" ht="12">
      <c r="A46" s="102">
        <v>140414</v>
      </c>
      <c r="B46" s="93" t="s">
        <v>250</v>
      </c>
      <c r="C46" s="103" t="s">
        <v>283</v>
      </c>
      <c r="D46" s="105" t="s">
        <v>284</v>
      </c>
      <c r="E46" s="95">
        <v>220</v>
      </c>
      <c r="F46" s="35">
        <v>0</v>
      </c>
    </row>
    <row r="47" spans="1:6" s="4" customFormat="1" ht="12">
      <c r="A47" s="102">
        <v>140414</v>
      </c>
      <c r="B47" s="93" t="s">
        <v>250</v>
      </c>
      <c r="C47" s="103" t="s">
        <v>285</v>
      </c>
      <c r="D47" s="105" t="s">
        <v>286</v>
      </c>
      <c r="E47" s="95">
        <v>362</v>
      </c>
      <c r="F47" s="35">
        <v>0</v>
      </c>
    </row>
    <row r="48" spans="1:6" s="4" customFormat="1" ht="12">
      <c r="A48" s="102">
        <v>140414</v>
      </c>
      <c r="B48" s="93" t="s">
        <v>250</v>
      </c>
      <c r="C48" s="103" t="s">
        <v>287</v>
      </c>
      <c r="D48" s="105" t="s">
        <v>288</v>
      </c>
      <c r="E48" s="95">
        <v>272</v>
      </c>
      <c r="F48" s="35">
        <v>0</v>
      </c>
    </row>
    <row r="49" spans="1:6" s="4" customFormat="1" ht="12">
      <c r="A49" s="102">
        <v>140414</v>
      </c>
      <c r="B49" s="93" t="s">
        <v>250</v>
      </c>
      <c r="C49" s="103">
        <v>214217042</v>
      </c>
      <c r="D49" s="105" t="s">
        <v>289</v>
      </c>
      <c r="E49" s="95">
        <v>716</v>
      </c>
      <c r="F49" s="35">
        <v>0</v>
      </c>
    </row>
    <row r="50" spans="1:6" s="4" customFormat="1" ht="12">
      <c r="A50" s="102">
        <v>140414</v>
      </c>
      <c r="B50" s="93" t="s">
        <v>250</v>
      </c>
      <c r="C50" s="103">
        <v>214176041</v>
      </c>
      <c r="D50" s="105" t="s">
        <v>290</v>
      </c>
      <c r="E50" s="95">
        <v>417</v>
      </c>
      <c r="F50" s="35">
        <v>0</v>
      </c>
    </row>
    <row r="51" spans="1:6" s="4" customFormat="1" ht="12">
      <c r="A51" s="102">
        <v>140414</v>
      </c>
      <c r="B51" s="93" t="s">
        <v>250</v>
      </c>
      <c r="C51" s="94">
        <v>214373043</v>
      </c>
      <c r="D51" s="105" t="s">
        <v>291</v>
      </c>
      <c r="E51" s="95">
        <v>117</v>
      </c>
      <c r="F51" s="35">
        <v>0</v>
      </c>
    </row>
    <row r="52" spans="1:6" s="4" customFormat="1" ht="12">
      <c r="A52" s="102">
        <v>140414</v>
      </c>
      <c r="B52" s="93" t="s">
        <v>250</v>
      </c>
      <c r="C52" s="106">
        <v>214566045</v>
      </c>
      <c r="D52" s="105" t="s">
        <v>292</v>
      </c>
      <c r="E52" s="95">
        <v>221</v>
      </c>
      <c r="F52" s="35">
        <v>0</v>
      </c>
    </row>
    <row r="53" spans="1:6" s="4" customFormat="1" ht="12">
      <c r="A53" s="102">
        <v>140414</v>
      </c>
      <c r="B53" s="93" t="s">
        <v>250</v>
      </c>
      <c r="C53" s="103">
        <v>219925599</v>
      </c>
      <c r="D53" s="105" t="s">
        <v>293</v>
      </c>
      <c r="E53" s="95">
        <v>339</v>
      </c>
      <c r="F53" s="35">
        <v>0</v>
      </c>
    </row>
    <row r="54" spans="1:6" s="4" customFormat="1" ht="12">
      <c r="A54" s="102">
        <v>140414</v>
      </c>
      <c r="B54" s="93" t="s">
        <v>250</v>
      </c>
      <c r="C54" s="103" t="s">
        <v>294</v>
      </c>
      <c r="D54" s="105" t="s">
        <v>295</v>
      </c>
      <c r="E54" s="95">
        <v>236</v>
      </c>
      <c r="F54" s="35">
        <v>0</v>
      </c>
    </row>
    <row r="55" spans="1:6" s="4" customFormat="1" ht="12">
      <c r="A55" s="102">
        <v>140414</v>
      </c>
      <c r="B55" s="93" t="s">
        <v>250</v>
      </c>
      <c r="C55" s="103" t="s">
        <v>296</v>
      </c>
      <c r="D55" s="105" t="s">
        <v>297</v>
      </c>
      <c r="E55" s="95">
        <v>33</v>
      </c>
      <c r="F55" s="35">
        <v>0</v>
      </c>
    </row>
    <row r="56" spans="1:6" s="4" customFormat="1" ht="12">
      <c r="A56" s="102">
        <v>140414</v>
      </c>
      <c r="B56" s="93" t="s">
        <v>250</v>
      </c>
      <c r="C56" s="103">
        <v>215017050</v>
      </c>
      <c r="D56" s="105" t="s">
        <v>298</v>
      </c>
      <c r="E56" s="95">
        <v>142</v>
      </c>
      <c r="F56" s="35">
        <v>0</v>
      </c>
    </row>
    <row r="57" spans="1:6" s="4" customFormat="1" ht="12">
      <c r="A57" s="102">
        <v>140414</v>
      </c>
      <c r="B57" s="93" t="s">
        <v>250</v>
      </c>
      <c r="C57" s="106" t="s">
        <v>299</v>
      </c>
      <c r="D57" s="105" t="s">
        <v>300</v>
      </c>
      <c r="E57" s="95">
        <v>109</v>
      </c>
      <c r="F57" s="35">
        <v>0</v>
      </c>
    </row>
    <row r="58" spans="1:6" s="4" customFormat="1" ht="12">
      <c r="A58" s="102">
        <v>140414</v>
      </c>
      <c r="B58" s="93" t="s">
        <v>250</v>
      </c>
      <c r="C58" s="103">
        <v>210181001</v>
      </c>
      <c r="D58" s="105" t="s">
        <v>301</v>
      </c>
      <c r="E58" s="95">
        <v>5051</v>
      </c>
      <c r="F58" s="35">
        <v>0</v>
      </c>
    </row>
    <row r="59" spans="1:6" s="4" customFormat="1" ht="12">
      <c r="A59" s="102">
        <v>140414</v>
      </c>
      <c r="B59" s="93" t="s">
        <v>250</v>
      </c>
      <c r="C59" s="103">
        <v>216581065</v>
      </c>
      <c r="D59" s="105" t="s">
        <v>302</v>
      </c>
      <c r="E59" s="95">
        <v>681</v>
      </c>
      <c r="F59" s="35">
        <v>0</v>
      </c>
    </row>
    <row r="60" spans="1:6" s="4" customFormat="1" ht="12">
      <c r="A60" s="102">
        <v>140414</v>
      </c>
      <c r="B60" s="93" t="s">
        <v>250</v>
      </c>
      <c r="C60" s="103" t="s">
        <v>303</v>
      </c>
      <c r="D60" s="105" t="s">
        <v>304</v>
      </c>
      <c r="E60" s="95">
        <v>275</v>
      </c>
      <c r="F60" s="35">
        <v>0</v>
      </c>
    </row>
    <row r="61" spans="1:6" s="4" customFormat="1" ht="12">
      <c r="A61" s="102">
        <v>140414</v>
      </c>
      <c r="B61" s="93" t="s">
        <v>250</v>
      </c>
      <c r="C61" s="103">
        <v>215152051</v>
      </c>
      <c r="D61" s="105" t="s">
        <v>305</v>
      </c>
      <c r="E61" s="95">
        <v>4</v>
      </c>
      <c r="F61" s="35">
        <v>0</v>
      </c>
    </row>
    <row r="62" spans="1:6" s="4" customFormat="1" ht="12">
      <c r="A62" s="102">
        <v>140414</v>
      </c>
      <c r="B62" s="93" t="s">
        <v>250</v>
      </c>
      <c r="C62" s="103">
        <v>215154051</v>
      </c>
      <c r="D62" s="105" t="s">
        <v>306</v>
      </c>
      <c r="E62" s="95">
        <v>20</v>
      </c>
      <c r="F62" s="35">
        <v>0</v>
      </c>
    </row>
    <row r="63" spans="1:6" s="4" customFormat="1" ht="12">
      <c r="A63" s="102">
        <v>140414</v>
      </c>
      <c r="B63" s="93" t="s">
        <v>250</v>
      </c>
      <c r="C63" s="103" t="s">
        <v>307</v>
      </c>
      <c r="D63" s="105" t="s">
        <v>308</v>
      </c>
      <c r="E63" s="95">
        <v>123</v>
      </c>
      <c r="F63" s="35">
        <v>0</v>
      </c>
    </row>
    <row r="64" spans="1:6" s="4" customFormat="1" ht="12">
      <c r="A64" s="102">
        <v>140414</v>
      </c>
      <c r="B64" s="93" t="s">
        <v>250</v>
      </c>
      <c r="C64" s="103">
        <v>215476054</v>
      </c>
      <c r="D64" s="105" t="s">
        <v>309</v>
      </c>
      <c r="E64" s="95">
        <v>145</v>
      </c>
      <c r="F64" s="35">
        <v>0</v>
      </c>
    </row>
    <row r="65" spans="1:6" s="4" customFormat="1" ht="12">
      <c r="A65" s="102">
        <v>140414</v>
      </c>
      <c r="B65" s="93" t="s">
        <v>250</v>
      </c>
      <c r="C65" s="103" t="s">
        <v>310</v>
      </c>
      <c r="D65" s="105" t="s">
        <v>311</v>
      </c>
      <c r="E65" s="95">
        <v>156</v>
      </c>
      <c r="F65" s="35">
        <v>0</v>
      </c>
    </row>
    <row r="66" spans="1:6" s="4" customFormat="1" ht="12">
      <c r="A66" s="102">
        <v>140414</v>
      </c>
      <c r="B66" s="93" t="s">
        <v>250</v>
      </c>
      <c r="C66" s="103" t="s">
        <v>312</v>
      </c>
      <c r="D66" s="105" t="s">
        <v>313</v>
      </c>
      <c r="E66" s="95">
        <v>15601</v>
      </c>
      <c r="F66" s="35">
        <v>0</v>
      </c>
    </row>
    <row r="67" spans="1:6" s="4" customFormat="1" ht="12">
      <c r="A67" s="102">
        <v>140414</v>
      </c>
      <c r="B67" s="93" t="s">
        <v>250</v>
      </c>
      <c r="C67" s="103">
        <v>216773067</v>
      </c>
      <c r="D67" s="105" t="s">
        <v>314</v>
      </c>
      <c r="E67" s="95">
        <v>206</v>
      </c>
      <c r="F67" s="35">
        <v>0</v>
      </c>
    </row>
    <row r="68" spans="1:6" s="4" customFormat="1" ht="12">
      <c r="A68" s="102">
        <v>140414</v>
      </c>
      <c r="B68" s="93" t="s">
        <v>250</v>
      </c>
      <c r="C68" s="103" t="s">
        <v>315</v>
      </c>
      <c r="D68" s="105" t="s">
        <v>316</v>
      </c>
      <c r="E68" s="95">
        <v>57</v>
      </c>
      <c r="F68" s="35">
        <v>0</v>
      </c>
    </row>
    <row r="69" spans="1:6" s="4" customFormat="1" ht="12">
      <c r="A69" s="102">
        <v>140414</v>
      </c>
      <c r="B69" s="93" t="s">
        <v>250</v>
      </c>
      <c r="C69" s="103" t="s">
        <v>317</v>
      </c>
      <c r="D69" s="105" t="s">
        <v>318</v>
      </c>
      <c r="E69" s="95">
        <v>13</v>
      </c>
      <c r="F69" s="35">
        <v>0</v>
      </c>
    </row>
    <row r="70" spans="1:6" s="4" customFormat="1" ht="12">
      <c r="A70" s="102">
        <v>140414</v>
      </c>
      <c r="B70" s="93" t="s">
        <v>250</v>
      </c>
      <c r="C70" s="103" t="s">
        <v>319</v>
      </c>
      <c r="D70" s="105" t="s">
        <v>320</v>
      </c>
      <c r="E70" s="95">
        <v>495</v>
      </c>
      <c r="F70" s="35">
        <v>0</v>
      </c>
    </row>
    <row r="71" spans="1:6" s="4" customFormat="1" ht="12">
      <c r="A71" s="102">
        <v>140414</v>
      </c>
      <c r="B71" s="93" t="s">
        <v>250</v>
      </c>
      <c r="C71" s="106" t="s">
        <v>321</v>
      </c>
      <c r="D71" s="105" t="s">
        <v>322</v>
      </c>
      <c r="E71" s="95">
        <v>126</v>
      </c>
      <c r="F71" s="35">
        <v>0</v>
      </c>
    </row>
    <row r="72" spans="1:6" s="4" customFormat="1" ht="12">
      <c r="A72" s="102">
        <v>140414</v>
      </c>
      <c r="B72" s="93" t="s">
        <v>250</v>
      </c>
      <c r="C72" s="106" t="s">
        <v>323</v>
      </c>
      <c r="D72" s="105" t="s">
        <v>324</v>
      </c>
      <c r="E72" s="95">
        <v>2153</v>
      </c>
      <c r="F72" s="35">
        <v>0</v>
      </c>
    </row>
    <row r="73" spans="1:6" s="4" customFormat="1" ht="12">
      <c r="A73" s="102">
        <v>140414</v>
      </c>
      <c r="B73" s="93" t="s">
        <v>250</v>
      </c>
      <c r="C73" s="106" t="s">
        <v>325</v>
      </c>
      <c r="D73" s="105" t="s">
        <v>326</v>
      </c>
      <c r="E73" s="95">
        <v>206</v>
      </c>
      <c r="F73" s="35">
        <v>0</v>
      </c>
    </row>
    <row r="74" spans="1:6" s="4" customFormat="1" ht="12">
      <c r="A74" s="102">
        <v>140414</v>
      </c>
      <c r="B74" s="93" t="s">
        <v>250</v>
      </c>
      <c r="C74" s="103">
        <v>211050110</v>
      </c>
      <c r="D74" s="105" t="s">
        <v>327</v>
      </c>
      <c r="E74" s="95">
        <v>194</v>
      </c>
      <c r="F74" s="35">
        <v>0</v>
      </c>
    </row>
    <row r="75" spans="1:6" s="4" customFormat="1" ht="12">
      <c r="A75" s="102">
        <v>140414</v>
      </c>
      <c r="B75" s="93" t="s">
        <v>250</v>
      </c>
      <c r="C75" s="103" t="s">
        <v>328</v>
      </c>
      <c r="D75" s="105" t="s">
        <v>329</v>
      </c>
      <c r="E75" s="95">
        <v>1361</v>
      </c>
      <c r="F75" s="35">
        <v>0</v>
      </c>
    </row>
    <row r="76" spans="1:6" s="4" customFormat="1" ht="12">
      <c r="A76" s="102">
        <v>140414</v>
      </c>
      <c r="B76" s="93" t="s">
        <v>250</v>
      </c>
      <c r="C76" s="94">
        <v>110808000</v>
      </c>
      <c r="D76" s="105" t="s">
        <v>330</v>
      </c>
      <c r="E76" s="95">
        <v>22999</v>
      </c>
      <c r="F76" s="35">
        <v>0</v>
      </c>
    </row>
    <row r="77" spans="1:6" s="4" customFormat="1" ht="12">
      <c r="A77" s="102">
        <v>140414</v>
      </c>
      <c r="B77" s="93" t="s">
        <v>250</v>
      </c>
      <c r="C77" s="106" t="s">
        <v>331</v>
      </c>
      <c r="D77" s="105" t="s">
        <v>332</v>
      </c>
      <c r="E77" s="95">
        <v>26</v>
      </c>
      <c r="F77" s="35">
        <v>0</v>
      </c>
    </row>
    <row r="78" spans="1:6" s="4" customFormat="1" ht="12">
      <c r="A78" s="102">
        <v>140414</v>
      </c>
      <c r="B78" s="93" t="s">
        <v>250</v>
      </c>
      <c r="C78" s="106">
        <v>218715087</v>
      </c>
      <c r="D78" s="105" t="s">
        <v>333</v>
      </c>
      <c r="E78" s="95">
        <v>258</v>
      </c>
      <c r="F78" s="35">
        <v>0</v>
      </c>
    </row>
    <row r="79" spans="1:6" s="4" customFormat="1" ht="12">
      <c r="A79" s="102">
        <v>140414</v>
      </c>
      <c r="B79" s="93" t="s">
        <v>250</v>
      </c>
      <c r="C79" s="103">
        <v>219418094</v>
      </c>
      <c r="D79" s="105" t="s">
        <v>334</v>
      </c>
      <c r="E79" s="95">
        <v>97</v>
      </c>
      <c r="F79" s="35">
        <v>0</v>
      </c>
    </row>
    <row r="80" spans="1:6" s="4" customFormat="1" ht="12">
      <c r="A80" s="102">
        <v>140414</v>
      </c>
      <c r="B80" s="93" t="s">
        <v>250</v>
      </c>
      <c r="C80" s="103">
        <v>218866088</v>
      </c>
      <c r="D80" s="105" t="s">
        <v>335</v>
      </c>
      <c r="E80" s="95">
        <v>280</v>
      </c>
      <c r="F80" s="35">
        <v>0</v>
      </c>
    </row>
    <row r="81" spans="1:6" s="4" customFormat="1" ht="12">
      <c r="A81" s="102">
        <v>140414</v>
      </c>
      <c r="B81" s="93" t="s">
        <v>250</v>
      </c>
      <c r="C81" s="103" t="s">
        <v>336</v>
      </c>
      <c r="D81" s="105" t="s">
        <v>337</v>
      </c>
      <c r="E81" s="95">
        <v>3047</v>
      </c>
      <c r="F81" s="35">
        <v>0</v>
      </c>
    </row>
    <row r="82" spans="1:6" s="4" customFormat="1" ht="12">
      <c r="A82" s="102">
        <v>140414</v>
      </c>
      <c r="B82" s="93" t="s">
        <v>250</v>
      </c>
      <c r="C82" s="103" t="s">
        <v>338</v>
      </c>
      <c r="D82" s="105" t="s">
        <v>339</v>
      </c>
      <c r="E82" s="95">
        <v>159</v>
      </c>
      <c r="F82" s="35">
        <v>0</v>
      </c>
    </row>
    <row r="83" spans="1:6" s="4" customFormat="1" ht="12">
      <c r="A83" s="102">
        <v>140414</v>
      </c>
      <c r="B83" s="93" t="s">
        <v>250</v>
      </c>
      <c r="C83" s="103" t="s">
        <v>340</v>
      </c>
      <c r="D83" s="105" t="s">
        <v>341</v>
      </c>
      <c r="E83" s="95">
        <v>65</v>
      </c>
      <c r="F83" s="35">
        <v>0</v>
      </c>
    </row>
    <row r="84" spans="1:6" s="4" customFormat="1" ht="12">
      <c r="A84" s="102">
        <v>140414</v>
      </c>
      <c r="B84" s="93" t="s">
        <v>250</v>
      </c>
      <c r="C84" s="103" t="s">
        <v>342</v>
      </c>
      <c r="D84" s="105" t="s">
        <v>343</v>
      </c>
      <c r="E84" s="95">
        <v>7</v>
      </c>
      <c r="F84" s="35">
        <v>0</v>
      </c>
    </row>
    <row r="85" spans="1:6" s="4" customFormat="1" ht="12">
      <c r="A85" s="102">
        <v>140414</v>
      </c>
      <c r="B85" s="93" t="s">
        <v>250</v>
      </c>
      <c r="C85" s="103" t="s">
        <v>344</v>
      </c>
      <c r="D85" s="105" t="s">
        <v>345</v>
      </c>
      <c r="E85" s="95">
        <v>96</v>
      </c>
      <c r="F85" s="35">
        <v>0</v>
      </c>
    </row>
    <row r="86" spans="1:6" s="4" customFormat="1" ht="12">
      <c r="A86" s="102">
        <v>140414</v>
      </c>
      <c r="B86" s="93" t="s">
        <v>250</v>
      </c>
      <c r="C86" s="106" t="s">
        <v>346</v>
      </c>
      <c r="D86" s="105" t="s">
        <v>347</v>
      </c>
      <c r="E86" s="95">
        <v>375</v>
      </c>
      <c r="F86" s="35">
        <v>0</v>
      </c>
    </row>
    <row r="87" spans="1:6" s="4" customFormat="1" ht="12">
      <c r="A87" s="102">
        <v>140414</v>
      </c>
      <c r="B87" s="93" t="s">
        <v>250</v>
      </c>
      <c r="C87" s="103" t="s">
        <v>348</v>
      </c>
      <c r="D87" s="105" t="s">
        <v>349</v>
      </c>
      <c r="E87" s="95">
        <v>147</v>
      </c>
      <c r="F87" s="35">
        <v>0</v>
      </c>
    </row>
    <row r="88" spans="1:6" s="4" customFormat="1" ht="12">
      <c r="A88" s="102">
        <v>140414</v>
      </c>
      <c r="B88" s="93" t="s">
        <v>250</v>
      </c>
      <c r="C88" s="103" t="s">
        <v>350</v>
      </c>
      <c r="D88" s="105" t="s">
        <v>351</v>
      </c>
      <c r="E88" s="95">
        <v>130</v>
      </c>
      <c r="F88" s="35">
        <v>0</v>
      </c>
    </row>
    <row r="89" spans="1:6" s="4" customFormat="1" ht="12">
      <c r="A89" s="102">
        <v>140414</v>
      </c>
      <c r="B89" s="93" t="s">
        <v>250</v>
      </c>
      <c r="C89" s="103">
        <v>210111001</v>
      </c>
      <c r="D89" s="105" t="s">
        <v>352</v>
      </c>
      <c r="E89" s="95">
        <v>1508892</v>
      </c>
      <c r="F89" s="35">
        <v>0</v>
      </c>
    </row>
    <row r="90" spans="1:6" s="4" customFormat="1" ht="12">
      <c r="A90" s="102">
        <v>140414</v>
      </c>
      <c r="B90" s="93" t="s">
        <v>250</v>
      </c>
      <c r="C90" s="103" t="s">
        <v>353</v>
      </c>
      <c r="D90" s="105" t="s">
        <v>354</v>
      </c>
      <c r="E90" s="95">
        <v>408</v>
      </c>
      <c r="F90" s="35">
        <v>0</v>
      </c>
    </row>
    <row r="91" spans="1:6" s="4" customFormat="1" ht="12">
      <c r="A91" s="102">
        <v>140414</v>
      </c>
      <c r="B91" s="93" t="s">
        <v>250</v>
      </c>
      <c r="C91" s="103">
        <v>111313000</v>
      </c>
      <c r="D91" s="105" t="s">
        <v>355</v>
      </c>
      <c r="E91" s="95">
        <v>454</v>
      </c>
      <c r="F91" s="35">
        <v>0</v>
      </c>
    </row>
    <row r="92" spans="1:6" s="4" customFormat="1" ht="12">
      <c r="A92" s="102">
        <v>140414</v>
      </c>
      <c r="B92" s="93" t="s">
        <v>250</v>
      </c>
      <c r="C92" s="106">
        <v>210168101</v>
      </c>
      <c r="D92" s="105" t="s">
        <v>356</v>
      </c>
      <c r="E92" s="95">
        <v>243</v>
      </c>
      <c r="F92" s="35">
        <v>0</v>
      </c>
    </row>
    <row r="93" spans="1:6" s="4" customFormat="1" ht="12">
      <c r="A93" s="102">
        <v>140414</v>
      </c>
      <c r="B93" s="93" t="s">
        <v>250</v>
      </c>
      <c r="C93" s="103">
        <v>111515000</v>
      </c>
      <c r="D93" s="105" t="s">
        <v>357</v>
      </c>
      <c r="E93" s="95">
        <v>204</v>
      </c>
      <c r="F93" s="35">
        <v>0</v>
      </c>
    </row>
    <row r="94" spans="1:6" s="4" customFormat="1" ht="12">
      <c r="A94" s="102">
        <v>140414</v>
      </c>
      <c r="B94" s="93" t="s">
        <v>250</v>
      </c>
      <c r="C94" s="103" t="s">
        <v>358</v>
      </c>
      <c r="D94" s="105" t="s">
        <v>359</v>
      </c>
      <c r="E94" s="95">
        <v>123</v>
      </c>
      <c r="F94" s="35">
        <v>0</v>
      </c>
    </row>
    <row r="95" spans="1:6" s="4" customFormat="1" ht="12">
      <c r="A95" s="102">
        <v>140414</v>
      </c>
      <c r="B95" s="93" t="s">
        <v>250</v>
      </c>
      <c r="C95" s="103" t="s">
        <v>360</v>
      </c>
      <c r="D95" s="105" t="s">
        <v>361</v>
      </c>
      <c r="E95" s="95">
        <v>44618</v>
      </c>
      <c r="F95" s="35">
        <v>0</v>
      </c>
    </row>
    <row r="96" spans="1:6" s="4" customFormat="1" ht="12">
      <c r="A96" s="102">
        <v>140414</v>
      </c>
      <c r="B96" s="93" t="s">
        <v>250</v>
      </c>
      <c r="C96" s="103">
        <v>210954109</v>
      </c>
      <c r="D96" s="105" t="s">
        <v>362</v>
      </c>
      <c r="E96" s="95">
        <v>75</v>
      </c>
      <c r="F96" s="35">
        <v>0</v>
      </c>
    </row>
    <row r="97" spans="1:6" s="4" customFormat="1" ht="12">
      <c r="A97" s="102">
        <v>140414</v>
      </c>
      <c r="B97" s="93" t="s">
        <v>250</v>
      </c>
      <c r="C97" s="94">
        <v>210915109</v>
      </c>
      <c r="D97" s="105" t="s">
        <v>363</v>
      </c>
      <c r="E97" s="95">
        <v>177</v>
      </c>
      <c r="F97" s="35">
        <v>0</v>
      </c>
    </row>
    <row r="98" spans="1:6" s="4" customFormat="1" ht="12">
      <c r="A98" s="102">
        <v>140414</v>
      </c>
      <c r="B98" s="93" t="s">
        <v>250</v>
      </c>
      <c r="C98" s="106">
        <v>211163111</v>
      </c>
      <c r="D98" s="105" t="s">
        <v>364</v>
      </c>
      <c r="E98" s="95">
        <v>124</v>
      </c>
      <c r="F98" s="35">
        <v>0</v>
      </c>
    </row>
    <row r="99" spans="1:6" s="4" customFormat="1" ht="12">
      <c r="A99" s="102">
        <v>140414</v>
      </c>
      <c r="B99" s="93" t="s">
        <v>250</v>
      </c>
      <c r="C99" s="103">
        <v>211176111</v>
      </c>
      <c r="D99" s="105" t="s">
        <v>365</v>
      </c>
      <c r="E99" s="95">
        <v>6177</v>
      </c>
      <c r="F99" s="35">
        <v>0</v>
      </c>
    </row>
    <row r="100" spans="1:6" s="4" customFormat="1" ht="12">
      <c r="A100" s="102">
        <v>140414</v>
      </c>
      <c r="B100" s="93" t="s">
        <v>250</v>
      </c>
      <c r="C100" s="103">
        <v>211376113</v>
      </c>
      <c r="D100" s="105" t="s">
        <v>366</v>
      </c>
      <c r="E100" s="95">
        <v>451</v>
      </c>
      <c r="F100" s="35">
        <v>0</v>
      </c>
    </row>
    <row r="101" spans="1:6" s="4" customFormat="1" ht="12">
      <c r="A101" s="102">
        <v>140414</v>
      </c>
      <c r="B101" s="93" t="s">
        <v>250</v>
      </c>
      <c r="C101" s="103">
        <v>211415114</v>
      </c>
      <c r="D101" s="105" t="s">
        <v>367</v>
      </c>
      <c r="E101" s="95">
        <v>87</v>
      </c>
      <c r="F101" s="35">
        <v>0</v>
      </c>
    </row>
    <row r="102" spans="1:6" s="4" customFormat="1" ht="12">
      <c r="A102" s="102">
        <v>140414</v>
      </c>
      <c r="B102" s="93" t="s">
        <v>250</v>
      </c>
      <c r="C102" s="103" t="s">
        <v>368</v>
      </c>
      <c r="D102" s="105" t="s">
        <v>369</v>
      </c>
      <c r="E102" s="95">
        <v>202</v>
      </c>
      <c r="F102" s="35">
        <v>0</v>
      </c>
    </row>
    <row r="103" spans="1:6" s="4" customFormat="1" ht="12">
      <c r="A103" s="102">
        <v>140414</v>
      </c>
      <c r="B103" s="93" t="s">
        <v>250</v>
      </c>
      <c r="C103" s="103">
        <v>212450124</v>
      </c>
      <c r="D103" s="105" t="s">
        <v>370</v>
      </c>
      <c r="E103" s="95">
        <v>56</v>
      </c>
      <c r="F103" s="35">
        <v>0</v>
      </c>
    </row>
    <row r="104" spans="1:6" s="4" customFormat="1" ht="12">
      <c r="A104" s="102">
        <v>140414</v>
      </c>
      <c r="B104" s="93" t="s">
        <v>250</v>
      </c>
      <c r="C104" s="103" t="s">
        <v>371</v>
      </c>
      <c r="D104" s="105" t="s">
        <v>372</v>
      </c>
      <c r="E104" s="95">
        <v>386</v>
      </c>
      <c r="F104" s="35">
        <v>0</v>
      </c>
    </row>
    <row r="105" spans="1:6" s="4" customFormat="1" ht="12">
      <c r="A105" s="102">
        <v>140414</v>
      </c>
      <c r="B105" s="93" t="s">
        <v>250</v>
      </c>
      <c r="C105" s="103">
        <v>212554125</v>
      </c>
      <c r="D105" s="105" t="s">
        <v>373</v>
      </c>
      <c r="E105" s="95">
        <v>122</v>
      </c>
      <c r="F105" s="35">
        <v>0</v>
      </c>
    </row>
    <row r="106" spans="1:6" s="4" customFormat="1" ht="12">
      <c r="A106" s="102">
        <v>140414</v>
      </c>
      <c r="B106" s="93" t="s">
        <v>250</v>
      </c>
      <c r="C106" s="103" t="s">
        <v>374</v>
      </c>
      <c r="D106" s="105" t="s">
        <v>375</v>
      </c>
      <c r="E106" s="95">
        <v>216</v>
      </c>
      <c r="F106" s="35">
        <v>0</v>
      </c>
    </row>
    <row r="107" spans="1:6" s="4" customFormat="1" ht="12">
      <c r="A107" s="102">
        <v>140414</v>
      </c>
      <c r="B107" s="93" t="s">
        <v>250</v>
      </c>
      <c r="C107" s="103">
        <v>212276122</v>
      </c>
      <c r="D107" s="105" t="s">
        <v>376</v>
      </c>
      <c r="E107" s="95">
        <v>7804</v>
      </c>
      <c r="F107" s="35">
        <v>0</v>
      </c>
    </row>
    <row r="108" spans="1:6" s="4" customFormat="1" ht="12">
      <c r="A108" s="102">
        <v>140414</v>
      </c>
      <c r="B108" s="93" t="s">
        <v>250</v>
      </c>
      <c r="C108" s="103">
        <v>212473124</v>
      </c>
      <c r="D108" s="105" t="s">
        <v>377</v>
      </c>
      <c r="E108" s="95">
        <v>202</v>
      </c>
      <c r="F108" s="35">
        <v>0</v>
      </c>
    </row>
    <row r="109" spans="1:6" s="4" customFormat="1" ht="12">
      <c r="A109" s="102">
        <v>140414</v>
      </c>
      <c r="B109" s="93" t="s">
        <v>250</v>
      </c>
      <c r="C109" s="103" t="s">
        <v>378</v>
      </c>
      <c r="D109" s="105" t="s">
        <v>379</v>
      </c>
      <c r="E109" s="95">
        <v>753</v>
      </c>
      <c r="F109" s="35">
        <v>0</v>
      </c>
    </row>
    <row r="110" spans="1:6" s="4" customFormat="1" ht="12">
      <c r="A110" s="102">
        <v>140414</v>
      </c>
      <c r="B110" s="93" t="s">
        <v>250</v>
      </c>
      <c r="C110" s="103">
        <v>211595015</v>
      </c>
      <c r="D110" s="105" t="s">
        <v>380</v>
      </c>
      <c r="E110" s="95">
        <v>281</v>
      </c>
      <c r="F110" s="35">
        <v>0</v>
      </c>
    </row>
    <row r="111" spans="1:6" s="4" customFormat="1" ht="12">
      <c r="A111" s="102">
        <v>140414</v>
      </c>
      <c r="B111" s="93" t="s">
        <v>250</v>
      </c>
      <c r="C111" s="103">
        <v>213063130</v>
      </c>
      <c r="D111" s="105" t="s">
        <v>381</v>
      </c>
      <c r="E111" s="95">
        <v>682</v>
      </c>
      <c r="F111" s="35">
        <v>0</v>
      </c>
    </row>
    <row r="112" spans="1:6" s="4" customFormat="1" ht="12">
      <c r="A112" s="102">
        <v>140414</v>
      </c>
      <c r="B112" s="93" t="s">
        <v>250</v>
      </c>
      <c r="C112" s="103" t="s">
        <v>382</v>
      </c>
      <c r="D112" s="105" t="s">
        <v>383</v>
      </c>
      <c r="E112" s="95">
        <v>1172</v>
      </c>
      <c r="F112" s="35">
        <v>0</v>
      </c>
    </row>
    <row r="113" spans="1:6" s="4" customFormat="1" ht="12">
      <c r="A113" s="102">
        <v>140414</v>
      </c>
      <c r="B113" s="93" t="s">
        <v>250</v>
      </c>
      <c r="C113" s="103" t="s">
        <v>384</v>
      </c>
      <c r="D113" s="105" t="s">
        <v>385</v>
      </c>
      <c r="E113" s="95">
        <v>91</v>
      </c>
      <c r="F113" s="35">
        <v>0</v>
      </c>
    </row>
    <row r="114" spans="1:6" s="4" customFormat="1" ht="12">
      <c r="A114" s="102">
        <v>140414</v>
      </c>
      <c r="B114" s="93" t="s">
        <v>250</v>
      </c>
      <c r="C114" s="103">
        <v>213719137</v>
      </c>
      <c r="D114" s="105" t="s">
        <v>386</v>
      </c>
      <c r="E114" s="95">
        <v>230</v>
      </c>
      <c r="F114" s="35">
        <v>0</v>
      </c>
    </row>
    <row r="115" spans="1:6" s="4" customFormat="1" ht="12">
      <c r="A115" s="102">
        <v>140414</v>
      </c>
      <c r="B115" s="93" t="s">
        <v>250</v>
      </c>
      <c r="C115" s="103">
        <v>210176001</v>
      </c>
      <c r="D115" s="105" t="s">
        <v>387</v>
      </c>
      <c r="E115" s="95">
        <v>122898</v>
      </c>
      <c r="F115" s="35">
        <v>0</v>
      </c>
    </row>
    <row r="116" spans="1:6" s="4" customFormat="1" ht="12">
      <c r="A116" s="102">
        <v>140414</v>
      </c>
      <c r="B116" s="93" t="s">
        <v>250</v>
      </c>
      <c r="C116" s="106" t="s">
        <v>388</v>
      </c>
      <c r="D116" s="105" t="s">
        <v>389</v>
      </c>
      <c r="E116" s="95">
        <v>131</v>
      </c>
      <c r="F116" s="35">
        <v>0</v>
      </c>
    </row>
    <row r="117" spans="1:6" s="4" customFormat="1" ht="12">
      <c r="A117" s="102">
        <v>140414</v>
      </c>
      <c r="B117" s="93" t="s">
        <v>250</v>
      </c>
      <c r="C117" s="103">
        <v>212676126</v>
      </c>
      <c r="D117" s="105" t="s">
        <v>390</v>
      </c>
      <c r="E117" s="95">
        <v>427</v>
      </c>
      <c r="F117" s="35">
        <v>0</v>
      </c>
    </row>
    <row r="118" spans="1:6" s="4" customFormat="1" ht="12">
      <c r="A118" s="102">
        <v>140414</v>
      </c>
      <c r="B118" s="93" t="s">
        <v>250</v>
      </c>
      <c r="C118" s="103">
        <v>214219142</v>
      </c>
      <c r="D118" s="105" t="s">
        <v>391</v>
      </c>
      <c r="E118" s="95">
        <v>1254</v>
      </c>
      <c r="F118" s="35">
        <v>0</v>
      </c>
    </row>
    <row r="119" spans="1:6" s="4" customFormat="1" ht="12">
      <c r="A119" s="102">
        <v>140414</v>
      </c>
      <c r="B119" s="93" t="s">
        <v>250</v>
      </c>
      <c r="C119" s="103" t="s">
        <v>392</v>
      </c>
      <c r="D119" s="105" t="s">
        <v>393</v>
      </c>
      <c r="E119" s="95">
        <v>308</v>
      </c>
      <c r="F119" s="35">
        <v>0</v>
      </c>
    </row>
    <row r="120" spans="1:6" s="4" customFormat="1" ht="12">
      <c r="A120" s="102">
        <v>140414</v>
      </c>
      <c r="B120" s="93" t="s">
        <v>250</v>
      </c>
      <c r="C120" s="103" t="s">
        <v>394</v>
      </c>
      <c r="D120" s="105" t="s">
        <v>395</v>
      </c>
      <c r="E120" s="95">
        <v>394</v>
      </c>
      <c r="F120" s="35">
        <v>0</v>
      </c>
    </row>
    <row r="121" spans="1:6" s="4" customFormat="1" ht="12">
      <c r="A121" s="102">
        <v>140414</v>
      </c>
      <c r="B121" s="93" t="s">
        <v>250</v>
      </c>
      <c r="C121" s="106" t="s">
        <v>396</v>
      </c>
      <c r="D121" s="105" t="s">
        <v>397</v>
      </c>
      <c r="E121" s="95">
        <v>381</v>
      </c>
      <c r="F121" s="35">
        <v>0</v>
      </c>
    </row>
    <row r="122" spans="1:6" s="4" customFormat="1" ht="12">
      <c r="A122" s="102">
        <v>140414</v>
      </c>
      <c r="B122" s="93" t="s">
        <v>250</v>
      </c>
      <c r="C122" s="103" t="s">
        <v>398</v>
      </c>
      <c r="D122" s="105" t="s">
        <v>399</v>
      </c>
      <c r="E122" s="95">
        <v>176</v>
      </c>
      <c r="F122" s="35">
        <v>0</v>
      </c>
    </row>
    <row r="123" spans="1:6" s="4" customFormat="1" ht="12">
      <c r="A123" s="102">
        <v>140414</v>
      </c>
      <c r="B123" s="93" t="s">
        <v>250</v>
      </c>
      <c r="C123" s="94">
        <v>213076130</v>
      </c>
      <c r="D123" s="105" t="s">
        <v>400</v>
      </c>
      <c r="E123" s="95">
        <v>65</v>
      </c>
      <c r="F123" s="35">
        <v>0</v>
      </c>
    </row>
    <row r="124" spans="1:6" s="4" customFormat="1" ht="12">
      <c r="A124" s="102">
        <v>140414</v>
      </c>
      <c r="B124" s="93" t="s">
        <v>250</v>
      </c>
      <c r="C124" s="103" t="s">
        <v>401</v>
      </c>
      <c r="D124" s="105" t="s">
        <v>402</v>
      </c>
      <c r="E124" s="95">
        <v>5</v>
      </c>
      <c r="F124" s="35">
        <v>0</v>
      </c>
    </row>
    <row r="125" spans="1:6" s="4" customFormat="1" ht="12">
      <c r="A125" s="102">
        <v>140414</v>
      </c>
      <c r="B125" s="93" t="s">
        <v>250</v>
      </c>
      <c r="C125" s="106" t="s">
        <v>403</v>
      </c>
      <c r="D125" s="105" t="s">
        <v>404</v>
      </c>
      <c r="E125" s="95">
        <v>74</v>
      </c>
      <c r="F125" s="35">
        <v>0</v>
      </c>
    </row>
    <row r="126" spans="1:6" s="4" customFormat="1" ht="12">
      <c r="A126" s="102">
        <v>140414</v>
      </c>
      <c r="B126" s="93" t="s">
        <v>250</v>
      </c>
      <c r="C126" s="103" t="s">
        <v>405</v>
      </c>
      <c r="D126" s="105" t="s">
        <v>406</v>
      </c>
      <c r="E126" s="95">
        <v>526</v>
      </c>
      <c r="F126" s="35">
        <v>0</v>
      </c>
    </row>
    <row r="127" spans="1:6" s="4" customFormat="1" ht="12">
      <c r="A127" s="102">
        <v>140414</v>
      </c>
      <c r="B127" s="93" t="s">
        <v>250</v>
      </c>
      <c r="C127" s="103" t="s">
        <v>407</v>
      </c>
      <c r="D127" s="105" t="s">
        <v>408</v>
      </c>
      <c r="E127" s="95">
        <v>188</v>
      </c>
      <c r="F127" s="35">
        <v>0</v>
      </c>
    </row>
    <row r="128" spans="1:6" s="4" customFormat="1" ht="12">
      <c r="A128" s="102">
        <v>140414</v>
      </c>
      <c r="B128" s="93" t="s">
        <v>250</v>
      </c>
      <c r="C128" s="106">
        <v>215268152</v>
      </c>
      <c r="D128" s="105" t="s">
        <v>409</v>
      </c>
      <c r="E128" s="95">
        <v>164</v>
      </c>
      <c r="F128" s="35">
        <v>0</v>
      </c>
    </row>
    <row r="129" spans="1:6" s="4" customFormat="1" ht="12">
      <c r="A129" s="102">
        <v>140414</v>
      </c>
      <c r="B129" s="93" t="s">
        <v>250</v>
      </c>
      <c r="C129" s="103">
        <v>214873148</v>
      </c>
      <c r="D129" s="105" t="s">
        <v>410</v>
      </c>
      <c r="E129" s="95">
        <v>43</v>
      </c>
      <c r="F129" s="35">
        <v>0</v>
      </c>
    </row>
    <row r="130" spans="1:6" s="4" customFormat="1" ht="12">
      <c r="A130" s="102">
        <v>140414</v>
      </c>
      <c r="B130" s="93" t="s">
        <v>250</v>
      </c>
      <c r="C130" s="103" t="s">
        <v>411</v>
      </c>
      <c r="D130" s="105" t="s">
        <v>412</v>
      </c>
      <c r="E130" s="95">
        <v>195</v>
      </c>
      <c r="F130" s="35">
        <v>0</v>
      </c>
    </row>
    <row r="131" spans="1:6" s="4" customFormat="1" ht="12">
      <c r="A131" s="102">
        <v>140414</v>
      </c>
      <c r="B131" s="93" t="s">
        <v>250</v>
      </c>
      <c r="C131" s="103">
        <v>215005150</v>
      </c>
      <c r="D131" s="105" t="s">
        <v>413</v>
      </c>
      <c r="E131" s="95">
        <v>1213</v>
      </c>
      <c r="F131" s="35">
        <v>0</v>
      </c>
    </row>
    <row r="132" spans="1:6" s="4" customFormat="1" ht="12">
      <c r="A132" s="102">
        <v>140414</v>
      </c>
      <c r="B132" s="93" t="s">
        <v>250</v>
      </c>
      <c r="C132" s="103">
        <v>210113001</v>
      </c>
      <c r="D132" s="105" t="s">
        <v>414</v>
      </c>
      <c r="E132" s="95">
        <v>56389</v>
      </c>
      <c r="F132" s="35">
        <v>0</v>
      </c>
    </row>
    <row r="133" spans="1:6" s="4" customFormat="1" ht="12">
      <c r="A133" s="102">
        <v>140414</v>
      </c>
      <c r="B133" s="93" t="s">
        <v>250</v>
      </c>
      <c r="C133" s="103">
        <v>214776147</v>
      </c>
      <c r="D133" s="105" t="s">
        <v>415</v>
      </c>
      <c r="E133" s="95">
        <v>14034</v>
      </c>
      <c r="F133" s="35">
        <v>0</v>
      </c>
    </row>
    <row r="134" spans="1:6" s="4" customFormat="1" ht="12">
      <c r="A134" s="102">
        <v>140414</v>
      </c>
      <c r="B134" s="93" t="s">
        <v>250</v>
      </c>
      <c r="C134" s="103" t="s">
        <v>416</v>
      </c>
      <c r="D134" s="105" t="s">
        <v>417</v>
      </c>
      <c r="E134" s="95">
        <v>673</v>
      </c>
      <c r="F134" s="35">
        <v>0</v>
      </c>
    </row>
    <row r="135" spans="1:6" s="4" customFormat="1" ht="12">
      <c r="A135" s="102">
        <v>140414</v>
      </c>
      <c r="B135" s="93" t="s">
        <v>250</v>
      </c>
      <c r="C135" s="103" t="s">
        <v>418</v>
      </c>
      <c r="D135" s="105" t="s">
        <v>419</v>
      </c>
      <c r="E135" s="95">
        <v>73</v>
      </c>
      <c r="F135" s="35">
        <v>0</v>
      </c>
    </row>
    <row r="136" spans="1:6" s="4" customFormat="1" ht="12">
      <c r="A136" s="102">
        <v>140414</v>
      </c>
      <c r="B136" s="93" t="s">
        <v>250</v>
      </c>
      <c r="C136" s="103" t="s">
        <v>420</v>
      </c>
      <c r="D136" s="105" t="s">
        <v>421</v>
      </c>
      <c r="E136" s="95">
        <v>99</v>
      </c>
      <c r="F136" s="35">
        <v>0</v>
      </c>
    </row>
    <row r="137" spans="1:6" s="4" customFormat="1" ht="12">
      <c r="A137" s="102">
        <v>140414</v>
      </c>
      <c r="B137" s="93" t="s">
        <v>250</v>
      </c>
      <c r="C137" s="106">
        <v>216268162</v>
      </c>
      <c r="D137" s="105" t="s">
        <v>422</v>
      </c>
      <c r="E137" s="95">
        <v>119</v>
      </c>
      <c r="F137" s="35">
        <v>0</v>
      </c>
    </row>
    <row r="138" spans="1:6" s="4" customFormat="1" ht="12">
      <c r="A138" s="102">
        <v>140414</v>
      </c>
      <c r="B138" s="93" t="s">
        <v>250</v>
      </c>
      <c r="C138" s="103" t="s">
        <v>423</v>
      </c>
      <c r="D138" s="105" t="s">
        <v>424</v>
      </c>
      <c r="E138" s="95">
        <v>113</v>
      </c>
      <c r="F138" s="35">
        <v>0</v>
      </c>
    </row>
    <row r="139" spans="1:6" s="4" customFormat="1" ht="12">
      <c r="A139" s="102">
        <v>140414</v>
      </c>
      <c r="B139" s="93" t="s">
        <v>250</v>
      </c>
      <c r="C139" s="103">
        <v>211585015</v>
      </c>
      <c r="D139" s="105" t="s">
        <v>425</v>
      </c>
      <c r="E139" s="95">
        <v>113</v>
      </c>
      <c r="F139" s="35">
        <v>0</v>
      </c>
    </row>
    <row r="140" spans="1:6" s="4" customFormat="1" ht="12">
      <c r="A140" s="102">
        <v>140414</v>
      </c>
      <c r="B140" s="93" t="s">
        <v>250</v>
      </c>
      <c r="C140" s="103">
        <v>216873168</v>
      </c>
      <c r="D140" s="105" t="s">
        <v>426</v>
      </c>
      <c r="E140" s="95">
        <v>31</v>
      </c>
      <c r="F140" s="35">
        <v>0</v>
      </c>
    </row>
    <row r="141" spans="1:6" s="4" customFormat="1" ht="12">
      <c r="A141" s="102">
        <v>140414</v>
      </c>
      <c r="B141" s="93" t="s">
        <v>250</v>
      </c>
      <c r="C141" s="106" t="s">
        <v>427</v>
      </c>
      <c r="D141" s="105" t="s">
        <v>428</v>
      </c>
      <c r="E141" s="95">
        <v>231</v>
      </c>
      <c r="F141" s="35">
        <v>0</v>
      </c>
    </row>
    <row r="142" spans="1:6" s="4" customFormat="1" ht="12">
      <c r="A142" s="102">
        <v>140414</v>
      </c>
      <c r="B142" s="93" t="s">
        <v>250</v>
      </c>
      <c r="C142" s="106" t="s">
        <v>429</v>
      </c>
      <c r="D142" s="105" t="s">
        <v>430</v>
      </c>
      <c r="E142" s="95">
        <v>104</v>
      </c>
      <c r="F142" s="35">
        <v>0</v>
      </c>
    </row>
    <row r="143" spans="1:6" s="4" customFormat="1" ht="12">
      <c r="A143" s="102">
        <v>140414</v>
      </c>
      <c r="B143" s="93" t="s">
        <v>250</v>
      </c>
      <c r="C143" s="103" t="s">
        <v>431</v>
      </c>
      <c r="D143" s="105" t="s">
        <v>432</v>
      </c>
      <c r="E143" s="95">
        <v>2453</v>
      </c>
      <c r="F143" s="35">
        <v>0</v>
      </c>
    </row>
    <row r="144" spans="1:6" s="4" customFormat="1" ht="12">
      <c r="A144" s="102">
        <v>140414</v>
      </c>
      <c r="B144" s="93" t="s">
        <v>250</v>
      </c>
      <c r="C144" s="103" t="s">
        <v>433</v>
      </c>
      <c r="D144" s="105" t="s">
        <v>434</v>
      </c>
      <c r="E144" s="95">
        <v>198</v>
      </c>
      <c r="F144" s="35">
        <v>0</v>
      </c>
    </row>
    <row r="145" spans="1:6" s="4" customFormat="1" ht="12">
      <c r="A145" s="102">
        <v>140414</v>
      </c>
      <c r="B145" s="93" t="s">
        <v>250</v>
      </c>
      <c r="C145" s="106" t="s">
        <v>435</v>
      </c>
      <c r="D145" s="105" t="s">
        <v>436</v>
      </c>
      <c r="E145" s="95">
        <v>20</v>
      </c>
      <c r="F145" s="35">
        <v>0</v>
      </c>
    </row>
    <row r="146" spans="1:6" s="4" customFormat="1" ht="12">
      <c r="A146" s="102">
        <v>140414</v>
      </c>
      <c r="B146" s="93" t="s">
        <v>250</v>
      </c>
      <c r="C146" s="103">
        <v>217254172</v>
      </c>
      <c r="D146" s="105" t="s">
        <v>437</v>
      </c>
      <c r="E146" s="95">
        <v>214</v>
      </c>
      <c r="F146" s="35">
        <v>0</v>
      </c>
    </row>
    <row r="147" spans="1:6" s="4" customFormat="1" ht="12">
      <c r="A147" s="102">
        <v>140414</v>
      </c>
      <c r="B147" s="93" t="s">
        <v>250</v>
      </c>
      <c r="C147" s="103" t="s">
        <v>438</v>
      </c>
      <c r="D147" s="105" t="s">
        <v>439</v>
      </c>
      <c r="E147" s="95">
        <v>40</v>
      </c>
      <c r="F147" s="35">
        <v>0</v>
      </c>
    </row>
    <row r="148" spans="1:6" s="4" customFormat="1" ht="12">
      <c r="A148" s="102">
        <v>140414</v>
      </c>
      <c r="B148" s="93" t="s">
        <v>250</v>
      </c>
      <c r="C148" s="103">
        <v>217417174</v>
      </c>
      <c r="D148" s="105" t="s">
        <v>440</v>
      </c>
      <c r="E148" s="95">
        <v>586</v>
      </c>
      <c r="F148" s="35">
        <v>0</v>
      </c>
    </row>
    <row r="149" spans="1:6" s="4" customFormat="1" ht="12">
      <c r="A149" s="102">
        <v>140414</v>
      </c>
      <c r="B149" s="93" t="s">
        <v>250</v>
      </c>
      <c r="C149" s="103" t="s">
        <v>441</v>
      </c>
      <c r="D149" s="105" t="s">
        <v>442</v>
      </c>
      <c r="E149" s="95">
        <v>14</v>
      </c>
      <c r="F149" s="35">
        <v>0</v>
      </c>
    </row>
    <row r="150" spans="1:6" s="4" customFormat="1" ht="12">
      <c r="A150" s="102">
        <v>140414</v>
      </c>
      <c r="B150" s="93" t="s">
        <v>250</v>
      </c>
      <c r="C150" s="106" t="s">
        <v>443</v>
      </c>
      <c r="D150" s="105" t="s">
        <v>444</v>
      </c>
      <c r="E150" s="95">
        <v>82</v>
      </c>
      <c r="F150" s="35">
        <v>0</v>
      </c>
    </row>
    <row r="151" spans="1:6" s="4" customFormat="1" ht="12">
      <c r="A151" s="102">
        <v>140414</v>
      </c>
      <c r="B151" s="93" t="s">
        <v>250</v>
      </c>
      <c r="C151" s="103" t="s">
        <v>445</v>
      </c>
      <c r="D151" s="105" t="s">
        <v>446</v>
      </c>
      <c r="E151" s="95">
        <v>42</v>
      </c>
      <c r="F151" s="35">
        <v>0</v>
      </c>
    </row>
    <row r="152" spans="1:6" s="4" customFormat="1" ht="12">
      <c r="A152" s="102">
        <v>140414</v>
      </c>
      <c r="B152" s="93" t="s">
        <v>250</v>
      </c>
      <c r="C152" s="103">
        <v>213215232</v>
      </c>
      <c r="D152" s="105" t="s">
        <v>447</v>
      </c>
      <c r="E152" s="95">
        <v>145</v>
      </c>
      <c r="F152" s="35">
        <v>0</v>
      </c>
    </row>
    <row r="153" spans="1:6" s="4" customFormat="1" ht="12">
      <c r="A153" s="102">
        <v>140414</v>
      </c>
      <c r="B153" s="93" t="s">
        <v>250</v>
      </c>
      <c r="C153" s="103" t="s">
        <v>448</v>
      </c>
      <c r="D153" s="105" t="s">
        <v>449</v>
      </c>
      <c r="E153" s="95">
        <v>21</v>
      </c>
      <c r="F153" s="35">
        <v>0</v>
      </c>
    </row>
    <row r="154" spans="1:6" s="4" customFormat="1" ht="12">
      <c r="A154" s="102">
        <v>140414</v>
      </c>
      <c r="B154" s="93" t="s">
        <v>250</v>
      </c>
      <c r="C154" s="103" t="s">
        <v>450</v>
      </c>
      <c r="D154" s="105" t="s">
        <v>451</v>
      </c>
      <c r="E154" s="95">
        <v>204</v>
      </c>
      <c r="F154" s="35">
        <v>0</v>
      </c>
    </row>
    <row r="155" spans="1:6" s="4" customFormat="1" ht="12">
      <c r="A155" s="102">
        <v>140414</v>
      </c>
      <c r="B155" s="93" t="s">
        <v>250</v>
      </c>
      <c r="C155" s="103" t="s">
        <v>452</v>
      </c>
      <c r="D155" s="105" t="s">
        <v>453</v>
      </c>
      <c r="E155" s="95">
        <v>24</v>
      </c>
      <c r="F155" s="35">
        <v>0</v>
      </c>
    </row>
    <row r="156" spans="1:6" s="4" customFormat="1" ht="12">
      <c r="A156" s="102">
        <v>140414</v>
      </c>
      <c r="B156" s="93" t="s">
        <v>250</v>
      </c>
      <c r="C156" s="103" t="s">
        <v>454</v>
      </c>
      <c r="D156" s="105" t="s">
        <v>455</v>
      </c>
      <c r="E156" s="95">
        <v>121</v>
      </c>
      <c r="F156" s="35">
        <v>0</v>
      </c>
    </row>
    <row r="157" spans="1:6" s="4" customFormat="1" ht="12">
      <c r="A157" s="102">
        <v>140414</v>
      </c>
      <c r="B157" s="93" t="s">
        <v>250</v>
      </c>
      <c r="C157" s="103" t="s">
        <v>456</v>
      </c>
      <c r="D157" s="105" t="s">
        <v>457</v>
      </c>
      <c r="E157" s="95">
        <v>120</v>
      </c>
      <c r="F157" s="35">
        <v>0</v>
      </c>
    </row>
    <row r="158" spans="1:6" s="4" customFormat="1" ht="12">
      <c r="A158" s="102">
        <v>140414</v>
      </c>
      <c r="B158" s="93" t="s">
        <v>250</v>
      </c>
      <c r="C158" s="103" t="s">
        <v>458</v>
      </c>
      <c r="D158" s="105" t="s">
        <v>459</v>
      </c>
      <c r="E158" s="95">
        <v>244</v>
      </c>
      <c r="F158" s="35">
        <v>0</v>
      </c>
    </row>
    <row r="159" spans="1:6" s="4" customFormat="1" ht="12">
      <c r="A159" s="102">
        <v>140414</v>
      </c>
      <c r="B159" s="93" t="s">
        <v>250</v>
      </c>
      <c r="C159" s="103" t="s">
        <v>460</v>
      </c>
      <c r="D159" s="105" t="s">
        <v>461</v>
      </c>
      <c r="E159" s="95">
        <v>549</v>
      </c>
      <c r="F159" s="35">
        <v>0</v>
      </c>
    </row>
    <row r="160" spans="1:6" s="4" customFormat="1" ht="12">
      <c r="A160" s="102">
        <v>140414</v>
      </c>
      <c r="B160" s="93" t="s">
        <v>250</v>
      </c>
      <c r="C160" s="103">
        <v>218923189</v>
      </c>
      <c r="D160" s="105" t="s">
        <v>462</v>
      </c>
      <c r="E160" s="95">
        <v>59</v>
      </c>
      <c r="F160" s="35">
        <v>0</v>
      </c>
    </row>
    <row r="161" spans="1:6" s="4" customFormat="1" ht="12">
      <c r="A161" s="102">
        <v>140414</v>
      </c>
      <c r="B161" s="93" t="s">
        <v>250</v>
      </c>
      <c r="C161" s="103">
        <v>218915189</v>
      </c>
      <c r="D161" s="105" t="s">
        <v>463</v>
      </c>
      <c r="E161" s="95">
        <v>152</v>
      </c>
      <c r="F161" s="35">
        <v>0</v>
      </c>
    </row>
    <row r="162" spans="1:6" s="4" customFormat="1" ht="12">
      <c r="A162" s="102">
        <v>140414</v>
      </c>
      <c r="B162" s="93" t="s">
        <v>250</v>
      </c>
      <c r="C162" s="106" t="s">
        <v>464</v>
      </c>
      <c r="D162" s="105" t="s">
        <v>465</v>
      </c>
      <c r="E162" s="95">
        <v>558</v>
      </c>
      <c r="F162" s="35">
        <v>0</v>
      </c>
    </row>
    <row r="163" spans="1:6" s="4" customFormat="1" ht="12">
      <c r="A163" s="102">
        <v>140414</v>
      </c>
      <c r="B163" s="93" t="s">
        <v>250</v>
      </c>
      <c r="C163" s="106">
        <v>219063190</v>
      </c>
      <c r="D163" s="105" t="s">
        <v>466</v>
      </c>
      <c r="E163" s="95">
        <v>10</v>
      </c>
      <c r="F163" s="35">
        <v>0</v>
      </c>
    </row>
    <row r="164" spans="1:6" s="4" customFormat="1" ht="12">
      <c r="A164" s="102">
        <v>140414</v>
      </c>
      <c r="B164" s="93" t="s">
        <v>250</v>
      </c>
      <c r="C164" s="103" t="s">
        <v>467</v>
      </c>
      <c r="D164" s="105" t="s">
        <v>468</v>
      </c>
      <c r="E164" s="95">
        <v>445</v>
      </c>
      <c r="F164" s="35">
        <v>0</v>
      </c>
    </row>
    <row r="165" spans="1:6" s="4" customFormat="1" ht="12">
      <c r="A165" s="102">
        <v>140414</v>
      </c>
      <c r="B165" s="93" t="s">
        <v>250</v>
      </c>
      <c r="C165" s="103">
        <v>210073200</v>
      </c>
      <c r="D165" s="105" t="s">
        <v>469</v>
      </c>
      <c r="E165" s="95">
        <v>322</v>
      </c>
      <c r="F165" s="35">
        <v>0</v>
      </c>
    </row>
    <row r="166" spans="1:6" s="4" customFormat="1" ht="12">
      <c r="A166" s="102">
        <v>140414</v>
      </c>
      <c r="B166" s="93" t="s">
        <v>250</v>
      </c>
      <c r="C166" s="103" t="s">
        <v>470</v>
      </c>
      <c r="D166" s="105" t="s">
        <v>471</v>
      </c>
      <c r="E166" s="95">
        <v>580</v>
      </c>
      <c r="F166" s="35">
        <v>0</v>
      </c>
    </row>
    <row r="167" spans="1:6" s="4" customFormat="1" ht="12">
      <c r="A167" s="102">
        <v>140414</v>
      </c>
      <c r="B167" s="93" t="s">
        <v>250</v>
      </c>
      <c r="C167" s="106">
        <v>211986219</v>
      </c>
      <c r="D167" s="105" t="s">
        <v>472</v>
      </c>
      <c r="E167" s="95">
        <v>106</v>
      </c>
      <c r="F167" s="35">
        <v>0</v>
      </c>
    </row>
    <row r="168" spans="1:6" s="4" customFormat="1" ht="12">
      <c r="A168" s="102">
        <v>140414</v>
      </c>
      <c r="B168" s="93" t="s">
        <v>250</v>
      </c>
      <c r="C168" s="103" t="s">
        <v>473</v>
      </c>
      <c r="D168" s="105" t="s">
        <v>474</v>
      </c>
      <c r="E168" s="95">
        <v>165</v>
      </c>
      <c r="F168" s="35">
        <v>0</v>
      </c>
    </row>
    <row r="169" spans="1:6" s="4" customFormat="1" ht="12">
      <c r="A169" s="102">
        <v>140414</v>
      </c>
      <c r="B169" s="93" t="s">
        <v>250</v>
      </c>
      <c r="C169" s="106" t="s">
        <v>475</v>
      </c>
      <c r="D169" s="105" t="s">
        <v>476</v>
      </c>
      <c r="E169" s="95">
        <v>281</v>
      </c>
      <c r="F169" s="35">
        <v>0</v>
      </c>
    </row>
    <row r="170" spans="1:6" s="4" customFormat="1" ht="12">
      <c r="A170" s="102">
        <v>140414</v>
      </c>
      <c r="B170" s="93" t="s">
        <v>250</v>
      </c>
      <c r="C170" s="106" t="s">
        <v>477</v>
      </c>
      <c r="D170" s="105" t="s">
        <v>478</v>
      </c>
      <c r="E170" s="95">
        <v>164</v>
      </c>
      <c r="F170" s="35">
        <v>0</v>
      </c>
    </row>
    <row r="171" spans="1:6" s="4" customFormat="1" ht="12">
      <c r="A171" s="102">
        <v>140414</v>
      </c>
      <c r="B171" s="93" t="s">
        <v>250</v>
      </c>
      <c r="C171" s="106" t="s">
        <v>479</v>
      </c>
      <c r="D171" s="105" t="s">
        <v>480</v>
      </c>
      <c r="E171" s="95">
        <v>102</v>
      </c>
      <c r="F171" s="35">
        <v>0</v>
      </c>
    </row>
    <row r="172" spans="1:6" s="4" customFormat="1" ht="12">
      <c r="A172" s="102">
        <v>140414</v>
      </c>
      <c r="B172" s="93" t="s">
        <v>250</v>
      </c>
      <c r="C172" s="106" t="s">
        <v>481</v>
      </c>
      <c r="D172" s="105" t="s">
        <v>482</v>
      </c>
      <c r="E172" s="95">
        <v>183</v>
      </c>
      <c r="F172" s="35">
        <v>0</v>
      </c>
    </row>
    <row r="173" spans="1:6" s="4" customFormat="1" ht="12">
      <c r="A173" s="102">
        <v>140414</v>
      </c>
      <c r="B173" s="93" t="s">
        <v>250</v>
      </c>
      <c r="C173" s="103" t="s">
        <v>483</v>
      </c>
      <c r="D173" s="105" t="s">
        <v>484</v>
      </c>
      <c r="E173" s="95">
        <v>1989</v>
      </c>
      <c r="F173" s="35">
        <v>0</v>
      </c>
    </row>
    <row r="174" spans="1:6" s="4" customFormat="1" ht="12">
      <c r="A174" s="102">
        <v>140414</v>
      </c>
      <c r="B174" s="93" t="s">
        <v>250</v>
      </c>
      <c r="C174" s="103" t="s">
        <v>485</v>
      </c>
      <c r="D174" s="105" t="s">
        <v>486</v>
      </c>
      <c r="E174" s="95">
        <v>14</v>
      </c>
      <c r="F174" s="35">
        <v>0</v>
      </c>
    </row>
    <row r="175" spans="1:6" s="4" customFormat="1" ht="12">
      <c r="A175" s="102">
        <v>140414</v>
      </c>
      <c r="B175" s="93" t="s">
        <v>250</v>
      </c>
      <c r="C175" s="103">
        <v>211552215</v>
      </c>
      <c r="D175" s="105" t="s">
        <v>487</v>
      </c>
      <c r="E175" s="95">
        <v>53</v>
      </c>
      <c r="F175" s="35">
        <v>0</v>
      </c>
    </row>
    <row r="176" spans="1:6" s="4" customFormat="1" ht="12">
      <c r="A176" s="102">
        <v>140414</v>
      </c>
      <c r="B176" s="93" t="s">
        <v>250</v>
      </c>
      <c r="C176" s="103">
        <v>211219212</v>
      </c>
      <c r="D176" s="105" t="s">
        <v>488</v>
      </c>
      <c r="E176" s="95">
        <v>51</v>
      </c>
      <c r="F176" s="35">
        <v>0</v>
      </c>
    </row>
    <row r="177" spans="1:6" s="4" customFormat="1" ht="12">
      <c r="A177" s="102">
        <v>140414</v>
      </c>
      <c r="B177" s="93" t="s">
        <v>250</v>
      </c>
      <c r="C177" s="106" t="s">
        <v>489</v>
      </c>
      <c r="D177" s="105" t="s">
        <v>490</v>
      </c>
      <c r="E177" s="95">
        <v>127</v>
      </c>
      <c r="F177" s="35">
        <v>0</v>
      </c>
    </row>
    <row r="178" spans="1:6" s="4" customFormat="1" ht="12">
      <c r="A178" s="102">
        <v>140414</v>
      </c>
      <c r="B178" s="93" t="s">
        <v>250</v>
      </c>
      <c r="C178" s="103">
        <v>211570215</v>
      </c>
      <c r="D178" s="105" t="s">
        <v>491</v>
      </c>
      <c r="E178" s="95">
        <v>13</v>
      </c>
      <c r="F178" s="35">
        <v>0</v>
      </c>
    </row>
    <row r="179" spans="1:6" s="4" customFormat="1" ht="12">
      <c r="A179" s="102">
        <v>140414</v>
      </c>
      <c r="B179" s="93" t="s">
        <v>250</v>
      </c>
      <c r="C179" s="103" t="s">
        <v>492</v>
      </c>
      <c r="D179" s="105" t="s">
        <v>493</v>
      </c>
      <c r="E179" s="95">
        <v>65</v>
      </c>
      <c r="F179" s="35">
        <v>0</v>
      </c>
    </row>
    <row r="180" spans="1:6" s="4" customFormat="1" ht="12">
      <c r="A180" s="102">
        <v>140414</v>
      </c>
      <c r="B180" s="93" t="s">
        <v>250</v>
      </c>
      <c r="C180" s="103" t="s">
        <v>494</v>
      </c>
      <c r="D180" s="105" t="s">
        <v>495</v>
      </c>
      <c r="E180" s="95">
        <v>800</v>
      </c>
      <c r="F180" s="35">
        <v>0</v>
      </c>
    </row>
    <row r="181" spans="1:6" s="4" customFormat="1" ht="12">
      <c r="A181" s="102">
        <v>140414</v>
      </c>
      <c r="B181" s="93" t="s">
        <v>250</v>
      </c>
      <c r="C181" s="103" t="s">
        <v>496</v>
      </c>
      <c r="D181" s="105" t="s">
        <v>497</v>
      </c>
      <c r="E181" s="95">
        <v>34</v>
      </c>
      <c r="F181" s="35">
        <v>0</v>
      </c>
    </row>
    <row r="182" spans="1:6" s="4" customFormat="1" ht="12">
      <c r="A182" s="102">
        <v>140414</v>
      </c>
      <c r="B182" s="93" t="s">
        <v>250</v>
      </c>
      <c r="C182" s="103">
        <v>211773217</v>
      </c>
      <c r="D182" s="105" t="s">
        <v>498</v>
      </c>
      <c r="E182" s="95">
        <v>413</v>
      </c>
      <c r="F182" s="35">
        <v>0</v>
      </c>
    </row>
    <row r="183" spans="1:6" s="4" customFormat="1" ht="12">
      <c r="A183" s="102">
        <v>140414</v>
      </c>
      <c r="B183" s="93" t="s">
        <v>250</v>
      </c>
      <c r="C183" s="103">
        <v>212081220</v>
      </c>
      <c r="D183" s="105" t="s">
        <v>499</v>
      </c>
      <c r="E183" s="95">
        <v>115</v>
      </c>
      <c r="F183" s="35">
        <v>0</v>
      </c>
    </row>
    <row r="184" spans="1:6" s="4" customFormat="1" ht="12">
      <c r="A184" s="102">
        <v>140414</v>
      </c>
      <c r="B184" s="93" t="s">
        <v>250</v>
      </c>
      <c r="C184" s="103" t="s">
        <v>500</v>
      </c>
      <c r="D184" s="105" t="s">
        <v>501</v>
      </c>
      <c r="E184" s="95">
        <v>144</v>
      </c>
      <c r="F184" s="35">
        <v>0</v>
      </c>
    </row>
    <row r="185" spans="1:6" s="4" customFormat="1" ht="12">
      <c r="A185" s="102">
        <v>140414</v>
      </c>
      <c r="B185" s="93" t="s">
        <v>250</v>
      </c>
      <c r="C185" s="103">
        <v>212350223</v>
      </c>
      <c r="D185" s="105" t="s">
        <v>502</v>
      </c>
      <c r="E185" s="95">
        <v>33</v>
      </c>
      <c r="F185" s="35">
        <v>0</v>
      </c>
    </row>
    <row r="186" spans="1:6" s="4" customFormat="1" ht="12">
      <c r="A186" s="102">
        <v>140414</v>
      </c>
      <c r="B186" s="93" t="s">
        <v>250</v>
      </c>
      <c r="C186" s="103" t="s">
        <v>503</v>
      </c>
      <c r="D186" s="105" t="s">
        <v>504</v>
      </c>
      <c r="E186" s="95">
        <v>68</v>
      </c>
      <c r="F186" s="35">
        <v>0</v>
      </c>
    </row>
    <row r="187" spans="1:6" s="4" customFormat="1" ht="12">
      <c r="A187" s="102">
        <v>140414</v>
      </c>
      <c r="B187" s="93" t="s">
        <v>250</v>
      </c>
      <c r="C187" s="103" t="s">
        <v>505</v>
      </c>
      <c r="D187" s="105" t="s">
        <v>506</v>
      </c>
      <c r="E187" s="95">
        <v>218</v>
      </c>
      <c r="F187" s="35">
        <v>0</v>
      </c>
    </row>
    <row r="188" spans="1:6" s="4" customFormat="1" ht="12">
      <c r="A188" s="102">
        <v>140414</v>
      </c>
      <c r="B188" s="93" t="s">
        <v>250</v>
      </c>
      <c r="C188" s="103">
        <v>210154001</v>
      </c>
      <c r="D188" s="105" t="s">
        <v>507</v>
      </c>
      <c r="E188" s="95">
        <v>20554</v>
      </c>
      <c r="F188" s="35">
        <v>0</v>
      </c>
    </row>
    <row r="189" spans="1:6" s="4" customFormat="1" ht="12">
      <c r="A189" s="102">
        <v>140414</v>
      </c>
      <c r="B189" s="93" t="s">
        <v>250</v>
      </c>
      <c r="C189" s="103">
        <v>212354223</v>
      </c>
      <c r="D189" s="105" t="s">
        <v>508</v>
      </c>
      <c r="E189" s="95">
        <v>182</v>
      </c>
      <c r="F189" s="35">
        <v>0</v>
      </c>
    </row>
    <row r="190" spans="1:6" s="4" customFormat="1" ht="12">
      <c r="A190" s="102">
        <v>140414</v>
      </c>
      <c r="B190" s="93" t="s">
        <v>250</v>
      </c>
      <c r="C190" s="103" t="s">
        <v>509</v>
      </c>
      <c r="D190" s="105" t="s">
        <v>510</v>
      </c>
      <c r="E190" s="95">
        <v>59</v>
      </c>
      <c r="F190" s="35">
        <v>0</v>
      </c>
    </row>
    <row r="191" spans="1:6" s="4" customFormat="1" ht="12">
      <c r="A191" s="102">
        <v>140414</v>
      </c>
      <c r="B191" s="93" t="s">
        <v>250</v>
      </c>
      <c r="C191" s="103">
        <v>212650226</v>
      </c>
      <c r="D191" s="105" t="s">
        <v>511</v>
      </c>
      <c r="E191" s="95">
        <v>279</v>
      </c>
      <c r="F191" s="35">
        <v>0</v>
      </c>
    </row>
    <row r="192" spans="1:6" s="4" customFormat="1" ht="12">
      <c r="A192" s="102">
        <v>140414</v>
      </c>
      <c r="B192" s="93" t="s">
        <v>250</v>
      </c>
      <c r="C192" s="103">
        <v>217399773</v>
      </c>
      <c r="D192" s="105" t="s">
        <v>512</v>
      </c>
      <c r="E192" s="95">
        <v>281</v>
      </c>
      <c r="F192" s="35">
        <v>0</v>
      </c>
    </row>
    <row r="193" spans="1:6" s="4" customFormat="1" ht="12">
      <c r="A193" s="102">
        <v>140414</v>
      </c>
      <c r="B193" s="93" t="s">
        <v>250</v>
      </c>
      <c r="C193" s="103">
        <v>212673226</v>
      </c>
      <c r="D193" s="105" t="s">
        <v>513</v>
      </c>
      <c r="E193" s="95">
        <v>165</v>
      </c>
      <c r="F193" s="35">
        <v>0</v>
      </c>
    </row>
    <row r="194" spans="1:6" s="4" customFormat="1" ht="12">
      <c r="A194" s="102">
        <v>140414</v>
      </c>
      <c r="B194" s="93" t="s">
        <v>250</v>
      </c>
      <c r="C194" s="103" t="s">
        <v>514</v>
      </c>
      <c r="D194" s="105" t="s">
        <v>515</v>
      </c>
      <c r="E194" s="95">
        <v>160</v>
      </c>
      <c r="F194" s="35">
        <v>0</v>
      </c>
    </row>
    <row r="195" spans="1:6" s="4" customFormat="1" ht="12">
      <c r="A195" s="102">
        <v>140414</v>
      </c>
      <c r="B195" s="93" t="s">
        <v>250</v>
      </c>
      <c r="C195" s="106">
        <v>212968229</v>
      </c>
      <c r="D195" s="105" t="s">
        <v>516</v>
      </c>
      <c r="E195" s="95">
        <v>27</v>
      </c>
      <c r="F195" s="35">
        <v>0</v>
      </c>
    </row>
    <row r="196" spans="1:6" s="4" customFormat="1" ht="12">
      <c r="A196" s="102">
        <v>140414</v>
      </c>
      <c r="B196" s="93" t="s">
        <v>250</v>
      </c>
      <c r="C196" s="106" t="s">
        <v>517</v>
      </c>
      <c r="D196" s="105" t="s">
        <v>518</v>
      </c>
      <c r="E196" s="95">
        <v>343</v>
      </c>
      <c r="F196" s="35">
        <v>0</v>
      </c>
    </row>
    <row r="197" spans="1:6" s="4" customFormat="1" ht="12">
      <c r="A197" s="102">
        <v>140414</v>
      </c>
      <c r="B197" s="93" t="s">
        <v>250</v>
      </c>
      <c r="C197" s="103">
        <v>213376233</v>
      </c>
      <c r="D197" s="105" t="s">
        <v>519</v>
      </c>
      <c r="E197" s="95">
        <v>440</v>
      </c>
      <c r="F197" s="35">
        <v>0</v>
      </c>
    </row>
    <row r="198" spans="1:6" s="4" customFormat="1" ht="12">
      <c r="A198" s="102">
        <v>140414</v>
      </c>
      <c r="B198" s="93" t="s">
        <v>250</v>
      </c>
      <c r="C198" s="103">
        <v>213673236</v>
      </c>
      <c r="D198" s="105" t="s">
        <v>520</v>
      </c>
      <c r="E198" s="95">
        <v>179</v>
      </c>
      <c r="F198" s="35">
        <v>0</v>
      </c>
    </row>
    <row r="199" spans="1:6" s="4" customFormat="1" ht="12">
      <c r="A199" s="102">
        <v>140414</v>
      </c>
      <c r="B199" s="93" t="s">
        <v>250</v>
      </c>
      <c r="C199" s="103" t="s">
        <v>521</v>
      </c>
      <c r="D199" s="105" t="s">
        <v>522</v>
      </c>
      <c r="E199" s="95">
        <v>1065</v>
      </c>
      <c r="F199" s="35">
        <v>0</v>
      </c>
    </row>
    <row r="200" spans="1:6" s="4" customFormat="1" ht="12">
      <c r="A200" s="102">
        <v>140414</v>
      </c>
      <c r="B200" s="93" t="s">
        <v>250</v>
      </c>
      <c r="C200" s="103">
        <v>217066170</v>
      </c>
      <c r="D200" s="105" t="s">
        <v>523</v>
      </c>
      <c r="E200" s="95">
        <v>3364</v>
      </c>
      <c r="F200" s="35">
        <v>0</v>
      </c>
    </row>
    <row r="201" spans="1:6" s="4" customFormat="1" ht="12">
      <c r="A201" s="102">
        <v>140414</v>
      </c>
      <c r="B201" s="93" t="s">
        <v>250</v>
      </c>
      <c r="C201" s="103" t="s">
        <v>524</v>
      </c>
      <c r="D201" s="105" t="s">
        <v>525</v>
      </c>
      <c r="E201" s="95">
        <v>1838</v>
      </c>
      <c r="F201" s="35">
        <v>0</v>
      </c>
    </row>
    <row r="202" spans="1:6" s="4" customFormat="1" ht="12">
      <c r="A202" s="102">
        <v>140414</v>
      </c>
      <c r="B202" s="93" t="s">
        <v>250</v>
      </c>
      <c r="C202" s="103">
        <v>214376243</v>
      </c>
      <c r="D202" s="105" t="s">
        <v>526</v>
      </c>
      <c r="E202" s="95">
        <v>264</v>
      </c>
      <c r="F202" s="35">
        <v>0</v>
      </c>
    </row>
    <row r="203" spans="1:6" s="4" customFormat="1" ht="12">
      <c r="A203" s="102">
        <v>140414</v>
      </c>
      <c r="B203" s="93" t="s">
        <v>250</v>
      </c>
      <c r="C203" s="103">
        <v>214676246</v>
      </c>
      <c r="D203" s="105" t="s">
        <v>527</v>
      </c>
      <c r="E203" s="95">
        <v>110</v>
      </c>
      <c r="F203" s="35">
        <v>0</v>
      </c>
    </row>
    <row r="204" spans="1:6" s="4" customFormat="1" ht="12">
      <c r="A204" s="102">
        <v>140414</v>
      </c>
      <c r="B204" s="93" t="s">
        <v>250</v>
      </c>
      <c r="C204" s="94">
        <v>213527135</v>
      </c>
      <c r="D204" s="105" t="s">
        <v>528</v>
      </c>
      <c r="E204" s="95">
        <v>121</v>
      </c>
      <c r="F204" s="35">
        <v>0</v>
      </c>
    </row>
    <row r="205" spans="1:6" s="4" customFormat="1" ht="12">
      <c r="A205" s="102">
        <v>140414</v>
      </c>
      <c r="B205" s="93" t="s">
        <v>250</v>
      </c>
      <c r="C205" s="94">
        <v>214554245</v>
      </c>
      <c r="D205" s="105" t="s">
        <v>529</v>
      </c>
      <c r="E205" s="95">
        <v>40</v>
      </c>
      <c r="F205" s="35">
        <v>0</v>
      </c>
    </row>
    <row r="206" spans="1:6" s="4" customFormat="1" ht="12">
      <c r="A206" s="102">
        <v>140414</v>
      </c>
      <c r="B206" s="93" t="s">
        <v>250</v>
      </c>
      <c r="C206" s="94">
        <v>214527245</v>
      </c>
      <c r="D206" s="105" t="s">
        <v>530</v>
      </c>
      <c r="E206" s="95">
        <v>183</v>
      </c>
      <c r="F206" s="35">
        <v>0</v>
      </c>
    </row>
    <row r="207" spans="1:6" s="4" customFormat="1" ht="12">
      <c r="A207" s="102">
        <v>140414</v>
      </c>
      <c r="B207" s="93" t="s">
        <v>250</v>
      </c>
      <c r="C207" s="103" t="s">
        <v>531</v>
      </c>
      <c r="D207" s="105" t="s">
        <v>532</v>
      </c>
      <c r="E207" s="95">
        <v>14</v>
      </c>
      <c r="F207" s="35">
        <v>0</v>
      </c>
    </row>
    <row r="208" spans="1:6" s="4" customFormat="1" ht="12">
      <c r="A208" s="102">
        <v>140414</v>
      </c>
      <c r="B208" s="93" t="s">
        <v>250</v>
      </c>
      <c r="C208" s="103">
        <v>215150251</v>
      </c>
      <c r="D208" s="105" t="s">
        <v>533</v>
      </c>
      <c r="E208" s="95">
        <v>151</v>
      </c>
      <c r="F208" s="35">
        <v>0</v>
      </c>
    </row>
    <row r="209" spans="1:6" s="4" customFormat="1" ht="12">
      <c r="A209" s="102">
        <v>140414</v>
      </c>
      <c r="B209" s="93" t="s">
        <v>250</v>
      </c>
      <c r="C209" s="103">
        <v>214876248</v>
      </c>
      <c r="D209" s="105" t="s">
        <v>534</v>
      </c>
      <c r="E209" s="95">
        <v>1034</v>
      </c>
      <c r="F209" s="35">
        <v>0</v>
      </c>
    </row>
    <row r="210" spans="1:6" s="4" customFormat="1" ht="12">
      <c r="A210" s="102">
        <v>140414</v>
      </c>
      <c r="B210" s="93" t="s">
        <v>250</v>
      </c>
      <c r="C210" s="103" t="s">
        <v>535</v>
      </c>
      <c r="D210" s="105" t="s">
        <v>536</v>
      </c>
      <c r="E210" s="95">
        <v>126</v>
      </c>
      <c r="F210" s="35">
        <v>0</v>
      </c>
    </row>
    <row r="211" spans="1:6" s="4" customFormat="1" ht="12">
      <c r="A211" s="102">
        <v>140414</v>
      </c>
      <c r="B211" s="93" t="s">
        <v>250</v>
      </c>
      <c r="C211" s="103" t="s">
        <v>537</v>
      </c>
      <c r="D211" s="105" t="s">
        <v>2926</v>
      </c>
      <c r="E211" s="95">
        <v>475</v>
      </c>
      <c r="F211" s="35">
        <v>0</v>
      </c>
    </row>
    <row r="212" spans="1:6" s="4" customFormat="1" ht="12">
      <c r="A212" s="102">
        <v>140414</v>
      </c>
      <c r="B212" s="93" t="s">
        <v>250</v>
      </c>
      <c r="C212" s="103" t="s">
        <v>2927</v>
      </c>
      <c r="D212" s="105" t="s">
        <v>2928</v>
      </c>
      <c r="E212" s="95">
        <v>270</v>
      </c>
      <c r="F212" s="35">
        <v>0</v>
      </c>
    </row>
    <row r="213" spans="1:6" s="4" customFormat="1" ht="12">
      <c r="A213" s="102">
        <v>140414</v>
      </c>
      <c r="B213" s="93" t="s">
        <v>250</v>
      </c>
      <c r="C213" s="103">
        <v>217050270</v>
      </c>
      <c r="D213" s="105" t="s">
        <v>2929</v>
      </c>
      <c r="E213" s="95">
        <v>32</v>
      </c>
      <c r="F213" s="35">
        <v>0</v>
      </c>
    </row>
    <row r="214" spans="1:6" s="4" customFormat="1" ht="12">
      <c r="A214" s="102">
        <v>140414</v>
      </c>
      <c r="B214" s="93" t="s">
        <v>250</v>
      </c>
      <c r="C214" s="103" t="s">
        <v>2930</v>
      </c>
      <c r="D214" s="105" t="s">
        <v>2931</v>
      </c>
      <c r="E214" s="95">
        <v>119</v>
      </c>
      <c r="F214" s="35">
        <v>0</v>
      </c>
    </row>
    <row r="215" spans="1:6" s="4" customFormat="1" ht="12">
      <c r="A215" s="102">
        <v>140414</v>
      </c>
      <c r="B215" s="93" t="s">
        <v>250</v>
      </c>
      <c r="C215" s="103" t="s">
        <v>2932</v>
      </c>
      <c r="D215" s="105" t="s">
        <v>2933</v>
      </c>
      <c r="E215" s="95">
        <v>236</v>
      </c>
      <c r="F215" s="35">
        <v>0</v>
      </c>
    </row>
    <row r="216" spans="1:6" s="4" customFormat="1" ht="12">
      <c r="A216" s="102">
        <v>140414</v>
      </c>
      <c r="B216" s="93" t="s">
        <v>250</v>
      </c>
      <c r="C216" s="103" t="s">
        <v>2934</v>
      </c>
      <c r="D216" s="105" t="s">
        <v>2935</v>
      </c>
      <c r="E216" s="95">
        <v>191</v>
      </c>
      <c r="F216" s="35">
        <v>0</v>
      </c>
    </row>
    <row r="217" spans="1:6" s="4" customFormat="1" ht="12">
      <c r="A217" s="102">
        <v>140414</v>
      </c>
      <c r="B217" s="93" t="s">
        <v>250</v>
      </c>
      <c r="C217" s="94">
        <v>215068250</v>
      </c>
      <c r="D217" s="105" t="s">
        <v>2936</v>
      </c>
      <c r="E217" s="95">
        <v>447</v>
      </c>
      <c r="F217" s="35">
        <v>0</v>
      </c>
    </row>
    <row r="218" spans="1:6" s="4" customFormat="1" ht="12">
      <c r="A218" s="102">
        <v>140414</v>
      </c>
      <c r="B218" s="93" t="s">
        <v>250</v>
      </c>
      <c r="C218" s="103">
        <v>215847258</v>
      </c>
      <c r="D218" s="105" t="s">
        <v>2937</v>
      </c>
      <c r="E218" s="95">
        <v>161</v>
      </c>
      <c r="F218" s="35">
        <v>0</v>
      </c>
    </row>
    <row r="219" spans="1:6" s="4" customFormat="1" ht="12">
      <c r="A219" s="102">
        <v>140414</v>
      </c>
      <c r="B219" s="93" t="s">
        <v>250</v>
      </c>
      <c r="C219" s="106" t="s">
        <v>2938</v>
      </c>
      <c r="D219" s="105" t="s">
        <v>2939</v>
      </c>
      <c r="E219" s="95">
        <v>167</v>
      </c>
      <c r="F219" s="35">
        <v>0</v>
      </c>
    </row>
    <row r="220" spans="1:6" s="4" customFormat="1" ht="12">
      <c r="A220" s="102">
        <v>140414</v>
      </c>
      <c r="B220" s="93" t="s">
        <v>250</v>
      </c>
      <c r="C220" s="106">
        <v>212595025</v>
      </c>
      <c r="D220" s="105" t="s">
        <v>2940</v>
      </c>
      <c r="E220" s="95">
        <v>379</v>
      </c>
      <c r="F220" s="35">
        <v>0</v>
      </c>
    </row>
    <row r="221" spans="1:6" s="4" customFormat="1" ht="12">
      <c r="A221" s="102">
        <v>140414</v>
      </c>
      <c r="B221" s="93" t="s">
        <v>250</v>
      </c>
      <c r="C221" s="103" t="s">
        <v>2941</v>
      </c>
      <c r="D221" s="105" t="s">
        <v>2942</v>
      </c>
      <c r="E221" s="95">
        <v>302</v>
      </c>
      <c r="F221" s="35">
        <v>0</v>
      </c>
    </row>
    <row r="222" spans="1:6" s="4" customFormat="1" ht="12">
      <c r="A222" s="102">
        <v>140414</v>
      </c>
      <c r="B222" s="93" t="s">
        <v>250</v>
      </c>
      <c r="C222" s="103" t="s">
        <v>2943</v>
      </c>
      <c r="D222" s="105" t="s">
        <v>2944</v>
      </c>
      <c r="E222" s="95">
        <v>530</v>
      </c>
      <c r="F222" s="35">
        <v>0</v>
      </c>
    </row>
    <row r="223" spans="1:6" s="4" customFormat="1" ht="12">
      <c r="A223" s="102">
        <v>140414</v>
      </c>
      <c r="B223" s="93" t="s">
        <v>250</v>
      </c>
      <c r="C223" s="103">
        <v>215852258</v>
      </c>
      <c r="D223" s="105" t="s">
        <v>2945</v>
      </c>
      <c r="E223" s="95">
        <v>120</v>
      </c>
      <c r="F223" s="35">
        <v>0</v>
      </c>
    </row>
    <row r="224" spans="1:6" s="4" customFormat="1" ht="12">
      <c r="A224" s="102">
        <v>140414</v>
      </c>
      <c r="B224" s="93" t="s">
        <v>250</v>
      </c>
      <c r="C224" s="103">
        <v>215619256</v>
      </c>
      <c r="D224" s="105" t="s">
        <v>2946</v>
      </c>
      <c r="E224" s="95">
        <v>384</v>
      </c>
      <c r="F224" s="35">
        <v>0</v>
      </c>
    </row>
    <row r="225" spans="1:6" s="4" customFormat="1" ht="12">
      <c r="A225" s="102">
        <v>140414</v>
      </c>
      <c r="B225" s="93" t="s">
        <v>250</v>
      </c>
      <c r="C225" s="103">
        <v>216154261</v>
      </c>
      <c r="D225" s="105" t="s">
        <v>2947</v>
      </c>
      <c r="E225" s="95">
        <v>197</v>
      </c>
      <c r="F225" s="35">
        <v>0</v>
      </c>
    </row>
    <row r="226" spans="1:6" s="4" customFormat="1" ht="12">
      <c r="A226" s="102">
        <v>140414</v>
      </c>
      <c r="B226" s="93" t="s">
        <v>250</v>
      </c>
      <c r="C226" s="106">
        <v>214441244</v>
      </c>
      <c r="D226" s="105" t="s">
        <v>2948</v>
      </c>
      <c r="E226" s="95">
        <v>73</v>
      </c>
      <c r="F226" s="35">
        <v>0</v>
      </c>
    </row>
    <row r="227" spans="1:6" s="4" customFormat="1" ht="12">
      <c r="A227" s="102">
        <v>140414</v>
      </c>
      <c r="B227" s="93" t="s">
        <v>250</v>
      </c>
      <c r="C227" s="106" t="s">
        <v>2949</v>
      </c>
      <c r="D227" s="105" t="s">
        <v>2950</v>
      </c>
      <c r="E227" s="95">
        <v>125</v>
      </c>
      <c r="F227" s="35">
        <v>0</v>
      </c>
    </row>
    <row r="228" spans="1:6" s="4" customFormat="1" ht="12">
      <c r="A228" s="102">
        <v>140414</v>
      </c>
      <c r="B228" s="93" t="s">
        <v>250</v>
      </c>
      <c r="C228" s="106" t="s">
        <v>2951</v>
      </c>
      <c r="D228" s="105" t="s">
        <v>2952</v>
      </c>
      <c r="E228" s="95">
        <v>95</v>
      </c>
      <c r="F228" s="35">
        <v>0</v>
      </c>
    </row>
    <row r="229" spans="1:6" s="4" customFormat="1" ht="12">
      <c r="A229" s="102">
        <v>140414</v>
      </c>
      <c r="B229" s="93" t="s">
        <v>250</v>
      </c>
      <c r="C229" s="103" t="s">
        <v>2953</v>
      </c>
      <c r="D229" s="105" t="s">
        <v>2954</v>
      </c>
      <c r="E229" s="95">
        <v>436</v>
      </c>
      <c r="F229" s="35">
        <v>0</v>
      </c>
    </row>
    <row r="230" spans="1:6" s="4" customFormat="1" ht="12">
      <c r="A230" s="102">
        <v>140414</v>
      </c>
      <c r="B230" s="93" t="s">
        <v>250</v>
      </c>
      <c r="C230" s="103" t="s">
        <v>2955</v>
      </c>
      <c r="D230" s="105" t="s">
        <v>2956</v>
      </c>
      <c r="E230" s="95">
        <v>10604</v>
      </c>
      <c r="F230" s="35">
        <v>0</v>
      </c>
    </row>
    <row r="231" spans="1:6" s="4" customFormat="1" ht="12">
      <c r="A231" s="102">
        <v>140414</v>
      </c>
      <c r="B231" s="93" t="s">
        <v>250</v>
      </c>
      <c r="C231" s="103">
        <v>216873268</v>
      </c>
      <c r="D231" s="105" t="s">
        <v>2957</v>
      </c>
      <c r="E231" s="95">
        <v>562</v>
      </c>
      <c r="F231" s="35">
        <v>0</v>
      </c>
    </row>
    <row r="232" spans="1:6" s="4" customFormat="1" ht="12">
      <c r="A232" s="102">
        <v>140414</v>
      </c>
      <c r="B232" s="93" t="s">
        <v>250</v>
      </c>
      <c r="C232" s="103" t="s">
        <v>2958</v>
      </c>
      <c r="D232" s="105" t="s">
        <v>2959</v>
      </c>
      <c r="E232" s="95">
        <v>2199</v>
      </c>
      <c r="F232" s="35">
        <v>0</v>
      </c>
    </row>
    <row r="233" spans="1:6" s="4" customFormat="1" ht="12">
      <c r="A233" s="102">
        <v>140414</v>
      </c>
      <c r="B233" s="93" t="s">
        <v>250</v>
      </c>
      <c r="C233" s="103">
        <v>217073270</v>
      </c>
      <c r="D233" s="105" t="s">
        <v>2960</v>
      </c>
      <c r="E233" s="95">
        <v>206</v>
      </c>
      <c r="F233" s="35">
        <v>0</v>
      </c>
    </row>
    <row r="234" spans="1:6" s="4" customFormat="1" ht="12">
      <c r="A234" s="102">
        <v>140414</v>
      </c>
      <c r="B234" s="93" t="s">
        <v>250</v>
      </c>
      <c r="C234" s="103">
        <v>217217272</v>
      </c>
      <c r="D234" s="105" t="s">
        <v>2961</v>
      </c>
      <c r="E234" s="95">
        <v>223</v>
      </c>
      <c r="F234" s="35">
        <v>0</v>
      </c>
    </row>
    <row r="235" spans="1:6" s="4" customFormat="1" ht="12">
      <c r="A235" s="102">
        <v>140414</v>
      </c>
      <c r="B235" s="93" t="s">
        <v>250</v>
      </c>
      <c r="C235" s="106">
        <v>217263272</v>
      </c>
      <c r="D235" s="105" t="s">
        <v>2962</v>
      </c>
      <c r="E235" s="95">
        <v>200</v>
      </c>
      <c r="F235" s="35">
        <v>0</v>
      </c>
    </row>
    <row r="236" spans="1:6" s="4" customFormat="1" ht="12">
      <c r="A236" s="102">
        <v>140414</v>
      </c>
      <c r="B236" s="93" t="s">
        <v>250</v>
      </c>
      <c r="C236" s="103" t="s">
        <v>2963</v>
      </c>
      <c r="D236" s="105" t="s">
        <v>2964</v>
      </c>
      <c r="E236" s="95">
        <v>200</v>
      </c>
      <c r="F236" s="35">
        <v>0</v>
      </c>
    </row>
    <row r="237" spans="1:6" s="4" customFormat="1" ht="12">
      <c r="A237" s="102">
        <v>140414</v>
      </c>
      <c r="B237" s="93" t="s">
        <v>250</v>
      </c>
      <c r="C237" s="103">
        <v>217573275</v>
      </c>
      <c r="D237" s="105" t="s">
        <v>2965</v>
      </c>
      <c r="E237" s="95">
        <v>360</v>
      </c>
      <c r="F237" s="35">
        <v>0</v>
      </c>
    </row>
    <row r="238" spans="1:6" s="4" customFormat="1" ht="12">
      <c r="A238" s="102">
        <v>140414</v>
      </c>
      <c r="B238" s="93" t="s">
        <v>250</v>
      </c>
      <c r="C238" s="94">
        <v>210118001</v>
      </c>
      <c r="D238" s="105" t="s">
        <v>2966</v>
      </c>
      <c r="E238" s="95">
        <v>4757</v>
      </c>
      <c r="F238" s="35">
        <v>0</v>
      </c>
    </row>
    <row r="239" spans="1:6" s="4" customFormat="1" ht="12">
      <c r="A239" s="102">
        <v>140414</v>
      </c>
      <c r="B239" s="93" t="s">
        <v>250</v>
      </c>
      <c r="C239" s="106" t="s">
        <v>2967</v>
      </c>
      <c r="D239" s="105" t="s">
        <v>2968</v>
      </c>
      <c r="E239" s="95">
        <v>115</v>
      </c>
      <c r="F239" s="35">
        <v>0</v>
      </c>
    </row>
    <row r="240" spans="1:6" s="4" customFormat="1" ht="12">
      <c r="A240" s="102">
        <v>140414</v>
      </c>
      <c r="B240" s="93" t="s">
        <v>250</v>
      </c>
      <c r="C240" s="103">
        <v>217576275</v>
      </c>
      <c r="D240" s="105" t="s">
        <v>2969</v>
      </c>
      <c r="E240" s="95">
        <v>734</v>
      </c>
      <c r="F240" s="35">
        <v>0</v>
      </c>
    </row>
    <row r="241" spans="1:6" s="4" customFormat="1" ht="12">
      <c r="A241" s="102">
        <v>140414</v>
      </c>
      <c r="B241" s="93" t="s">
        <v>250</v>
      </c>
      <c r="C241" s="103" t="s">
        <v>2970</v>
      </c>
      <c r="D241" s="105" t="s">
        <v>2971</v>
      </c>
      <c r="E241" s="95">
        <v>3466</v>
      </c>
      <c r="F241" s="35">
        <v>0</v>
      </c>
    </row>
    <row r="242" spans="1:6" s="4" customFormat="1" ht="12">
      <c r="A242" s="102">
        <v>140414</v>
      </c>
      <c r="B242" s="93" t="s">
        <v>250</v>
      </c>
      <c r="C242" s="103" t="s">
        <v>2972</v>
      </c>
      <c r="D242" s="105" t="s">
        <v>2973</v>
      </c>
      <c r="E242" s="95">
        <v>217</v>
      </c>
      <c r="F242" s="35">
        <v>0</v>
      </c>
    </row>
    <row r="243" spans="1:6" s="4" customFormat="1" ht="12">
      <c r="A243" s="102">
        <v>140414</v>
      </c>
      <c r="B243" s="93" t="s">
        <v>250</v>
      </c>
      <c r="C243" s="103">
        <v>210081300</v>
      </c>
      <c r="D243" s="105" t="s">
        <v>2974</v>
      </c>
      <c r="E243" s="95">
        <v>64</v>
      </c>
      <c r="F243" s="35">
        <v>0</v>
      </c>
    </row>
    <row r="244" spans="1:6" s="4" customFormat="1" ht="12">
      <c r="A244" s="102">
        <v>140414</v>
      </c>
      <c r="B244" s="93" t="s">
        <v>250</v>
      </c>
      <c r="C244" s="103">
        <v>218125281</v>
      </c>
      <c r="D244" s="105" t="s">
        <v>2975</v>
      </c>
      <c r="E244" s="95">
        <v>173</v>
      </c>
      <c r="F244" s="35">
        <v>0</v>
      </c>
    </row>
    <row r="245" spans="1:6" s="4" customFormat="1" ht="12">
      <c r="A245" s="102">
        <v>140414</v>
      </c>
      <c r="B245" s="93" t="s">
        <v>250</v>
      </c>
      <c r="C245" s="103" t="s">
        <v>2976</v>
      </c>
      <c r="D245" s="105" t="s">
        <v>2977</v>
      </c>
      <c r="E245" s="95">
        <v>405</v>
      </c>
      <c r="F245" s="35">
        <v>0</v>
      </c>
    </row>
    <row r="246" spans="1:6" s="4" customFormat="1" ht="12">
      <c r="A246" s="102">
        <v>140414</v>
      </c>
      <c r="B246" s="93" t="s">
        <v>250</v>
      </c>
      <c r="C246" s="103">
        <v>218373283</v>
      </c>
      <c r="D246" s="105" t="s">
        <v>2978</v>
      </c>
      <c r="E246" s="95">
        <v>29</v>
      </c>
      <c r="F246" s="35">
        <v>0</v>
      </c>
    </row>
    <row r="247" spans="1:6" s="4" customFormat="1" ht="12">
      <c r="A247" s="102">
        <v>140414</v>
      </c>
      <c r="B247" s="93" t="s">
        <v>250</v>
      </c>
      <c r="C247" s="103" t="s">
        <v>2979</v>
      </c>
      <c r="D247" s="105" t="s">
        <v>2980</v>
      </c>
      <c r="E247" s="95">
        <v>184</v>
      </c>
      <c r="F247" s="35">
        <v>0</v>
      </c>
    </row>
    <row r="248" spans="1:6" s="4" customFormat="1" ht="12">
      <c r="A248" s="102">
        <v>140414</v>
      </c>
      <c r="B248" s="93" t="s">
        <v>250</v>
      </c>
      <c r="C248" s="103">
        <v>218750287</v>
      </c>
      <c r="D248" s="105" t="s">
        <v>2981</v>
      </c>
      <c r="E248" s="95">
        <v>357</v>
      </c>
      <c r="F248" s="35">
        <v>0</v>
      </c>
    </row>
    <row r="249" spans="1:6" s="4" customFormat="1" ht="12">
      <c r="A249" s="102">
        <v>140414</v>
      </c>
      <c r="B249" s="93" t="s">
        <v>250</v>
      </c>
      <c r="C249" s="103">
        <v>218847288</v>
      </c>
      <c r="D249" s="105" t="s">
        <v>2982</v>
      </c>
      <c r="E249" s="95">
        <v>300</v>
      </c>
      <c r="F249" s="35">
        <v>0</v>
      </c>
    </row>
    <row r="250" spans="1:6" s="4" customFormat="1" ht="12">
      <c r="A250" s="102">
        <v>140414</v>
      </c>
      <c r="B250" s="93" t="s">
        <v>250</v>
      </c>
      <c r="C250" s="103" t="s">
        <v>2983</v>
      </c>
      <c r="D250" s="105" t="s">
        <v>2984</v>
      </c>
      <c r="E250" s="95">
        <v>1373</v>
      </c>
      <c r="F250" s="35">
        <v>0</v>
      </c>
    </row>
    <row r="251" spans="1:6" s="4" customFormat="1" ht="12">
      <c r="A251" s="102">
        <v>140414</v>
      </c>
      <c r="B251" s="93" t="s">
        <v>250</v>
      </c>
      <c r="C251" s="103" t="s">
        <v>2985</v>
      </c>
      <c r="D251" s="105" t="s">
        <v>2986</v>
      </c>
      <c r="E251" s="95">
        <v>210</v>
      </c>
      <c r="F251" s="35">
        <v>0</v>
      </c>
    </row>
    <row r="252" spans="1:6" s="4" customFormat="1" ht="12">
      <c r="A252" s="102">
        <v>140414</v>
      </c>
      <c r="B252" s="93" t="s">
        <v>250</v>
      </c>
      <c r="C252" s="103" t="s">
        <v>2987</v>
      </c>
      <c r="D252" s="105" t="s">
        <v>2988</v>
      </c>
      <c r="E252" s="95">
        <v>76</v>
      </c>
      <c r="F252" s="35">
        <v>0</v>
      </c>
    </row>
    <row r="253" spans="1:6" s="4" customFormat="1" ht="12">
      <c r="A253" s="102">
        <v>140414</v>
      </c>
      <c r="B253" s="93" t="s">
        <v>250</v>
      </c>
      <c r="C253" s="103" t="s">
        <v>2989</v>
      </c>
      <c r="D253" s="105" t="s">
        <v>2990</v>
      </c>
      <c r="E253" s="95">
        <v>337</v>
      </c>
      <c r="F253" s="35">
        <v>0</v>
      </c>
    </row>
    <row r="254" spans="1:6" s="4" customFormat="1" ht="12">
      <c r="A254" s="102">
        <v>140414</v>
      </c>
      <c r="B254" s="93" t="s">
        <v>250</v>
      </c>
      <c r="C254" s="103">
        <v>219525295</v>
      </c>
      <c r="D254" s="105" t="s">
        <v>2991</v>
      </c>
      <c r="E254" s="95">
        <v>266</v>
      </c>
      <c r="F254" s="35">
        <v>0</v>
      </c>
    </row>
    <row r="255" spans="1:6" s="4" customFormat="1" ht="12">
      <c r="A255" s="102">
        <v>140414</v>
      </c>
      <c r="B255" s="93" t="s">
        <v>250</v>
      </c>
      <c r="C255" s="103" t="s">
        <v>2992</v>
      </c>
      <c r="D255" s="105" t="s">
        <v>2993</v>
      </c>
      <c r="E255" s="95">
        <v>97</v>
      </c>
      <c r="F255" s="35">
        <v>0</v>
      </c>
    </row>
    <row r="256" spans="1:6" s="4" customFormat="1" ht="12">
      <c r="A256" s="102">
        <v>140414</v>
      </c>
      <c r="B256" s="93" t="s">
        <v>250</v>
      </c>
      <c r="C256" s="103" t="s">
        <v>2994</v>
      </c>
      <c r="D256" s="105" t="s">
        <v>2995</v>
      </c>
      <c r="E256" s="95">
        <v>67</v>
      </c>
      <c r="F256" s="35">
        <v>0</v>
      </c>
    </row>
    <row r="257" spans="1:6" s="4" customFormat="1" ht="12">
      <c r="A257" s="102">
        <v>140414</v>
      </c>
      <c r="B257" s="93" t="s">
        <v>250</v>
      </c>
      <c r="C257" s="106" t="s">
        <v>2996</v>
      </c>
      <c r="D257" s="105" t="s">
        <v>2997</v>
      </c>
      <c r="E257" s="95">
        <v>106</v>
      </c>
      <c r="F257" s="35">
        <v>0</v>
      </c>
    </row>
    <row r="258" spans="1:6" s="4" customFormat="1" ht="12">
      <c r="A258" s="102">
        <v>140414</v>
      </c>
      <c r="B258" s="93" t="s">
        <v>250</v>
      </c>
      <c r="C258" s="103" t="s">
        <v>2998</v>
      </c>
      <c r="D258" s="105" t="s">
        <v>2999</v>
      </c>
      <c r="E258" s="95">
        <v>173</v>
      </c>
      <c r="F258" s="35">
        <v>0</v>
      </c>
    </row>
    <row r="259" spans="1:6" s="4" customFormat="1" ht="12">
      <c r="A259" s="102">
        <v>140414</v>
      </c>
      <c r="B259" s="93" t="s">
        <v>250</v>
      </c>
      <c r="C259" s="106" t="s">
        <v>3000</v>
      </c>
      <c r="D259" s="105" t="s">
        <v>3001</v>
      </c>
      <c r="E259" s="95">
        <v>18</v>
      </c>
      <c r="F259" s="35">
        <v>0</v>
      </c>
    </row>
    <row r="260" spans="1:6" s="4" customFormat="1" ht="12">
      <c r="A260" s="102">
        <v>140414</v>
      </c>
      <c r="B260" s="93" t="s">
        <v>250</v>
      </c>
      <c r="C260" s="103" t="s">
        <v>3002</v>
      </c>
      <c r="D260" s="105" t="s">
        <v>3003</v>
      </c>
      <c r="E260" s="95">
        <v>39</v>
      </c>
      <c r="F260" s="35">
        <v>0</v>
      </c>
    </row>
    <row r="261" spans="1:6" s="4" customFormat="1" ht="12">
      <c r="A261" s="102">
        <v>140414</v>
      </c>
      <c r="B261" s="93" t="s">
        <v>250</v>
      </c>
      <c r="C261" s="103" t="s">
        <v>3004</v>
      </c>
      <c r="D261" s="105" t="s">
        <v>3005</v>
      </c>
      <c r="E261" s="95">
        <v>237</v>
      </c>
      <c r="F261" s="35">
        <v>0</v>
      </c>
    </row>
    <row r="262" spans="1:6" s="4" customFormat="1" ht="12">
      <c r="A262" s="102">
        <v>140414</v>
      </c>
      <c r="B262" s="93" t="s">
        <v>250</v>
      </c>
      <c r="C262" s="106" t="s">
        <v>3006</v>
      </c>
      <c r="D262" s="105" t="s">
        <v>3007</v>
      </c>
      <c r="E262" s="95">
        <v>1000</v>
      </c>
      <c r="F262" s="35">
        <v>0</v>
      </c>
    </row>
    <row r="263" spans="1:6" s="4" customFormat="1" ht="12">
      <c r="A263" s="102">
        <v>140414</v>
      </c>
      <c r="B263" s="93" t="s">
        <v>250</v>
      </c>
      <c r="C263" s="106">
        <v>210263302</v>
      </c>
      <c r="D263" s="105" t="s">
        <v>3008</v>
      </c>
      <c r="E263" s="95">
        <v>135</v>
      </c>
      <c r="F263" s="35">
        <v>0</v>
      </c>
    </row>
    <row r="264" spans="1:6" s="4" customFormat="1" ht="12">
      <c r="A264" s="102">
        <v>140414</v>
      </c>
      <c r="B264" s="93" t="s">
        <v>250</v>
      </c>
      <c r="C264" s="103" t="s">
        <v>3009</v>
      </c>
      <c r="D264" s="105" t="s">
        <v>3010</v>
      </c>
      <c r="E264" s="95">
        <v>353</v>
      </c>
      <c r="F264" s="35">
        <v>0</v>
      </c>
    </row>
    <row r="265" spans="1:6" s="4" customFormat="1" ht="12">
      <c r="A265" s="102">
        <v>140414</v>
      </c>
      <c r="B265" s="93" t="s">
        <v>250</v>
      </c>
      <c r="C265" s="103">
        <v>210676306</v>
      </c>
      <c r="D265" s="105" t="s">
        <v>3011</v>
      </c>
      <c r="E265" s="95">
        <v>410</v>
      </c>
      <c r="F265" s="35">
        <v>0</v>
      </c>
    </row>
    <row r="266" spans="1:6" s="4" customFormat="1" ht="12">
      <c r="A266" s="102">
        <v>140414</v>
      </c>
      <c r="B266" s="93" t="s">
        <v>250</v>
      </c>
      <c r="C266" s="103" t="s">
        <v>3012</v>
      </c>
      <c r="D266" s="105" t="s">
        <v>3013</v>
      </c>
      <c r="E266" s="95">
        <v>148</v>
      </c>
      <c r="F266" s="35">
        <v>0</v>
      </c>
    </row>
    <row r="267" spans="1:6" s="4" customFormat="1" ht="12">
      <c r="A267" s="102">
        <v>140414</v>
      </c>
      <c r="B267" s="93" t="s">
        <v>250</v>
      </c>
      <c r="C267" s="103" t="s">
        <v>3014</v>
      </c>
      <c r="D267" s="105" t="s">
        <v>3015</v>
      </c>
      <c r="E267" s="95">
        <v>1655</v>
      </c>
      <c r="F267" s="35">
        <v>0</v>
      </c>
    </row>
    <row r="268" spans="1:6" s="4" customFormat="1" ht="12">
      <c r="A268" s="102">
        <v>140414</v>
      </c>
      <c r="B268" s="93" t="s">
        <v>250</v>
      </c>
      <c r="C268" s="103" t="s">
        <v>3016</v>
      </c>
      <c r="D268" s="105" t="s">
        <v>3017</v>
      </c>
      <c r="E268" s="95">
        <v>1176</v>
      </c>
      <c r="F268" s="35">
        <v>0</v>
      </c>
    </row>
    <row r="269" spans="1:6" s="4" customFormat="1" ht="12">
      <c r="A269" s="102">
        <v>140414</v>
      </c>
      <c r="B269" s="93" t="s">
        <v>250</v>
      </c>
      <c r="C269" s="106" t="s">
        <v>3018</v>
      </c>
      <c r="D269" s="105" t="s">
        <v>3019</v>
      </c>
      <c r="E269" s="95">
        <v>2165</v>
      </c>
      <c r="F269" s="35">
        <v>0</v>
      </c>
    </row>
    <row r="270" spans="1:6" s="4" customFormat="1" ht="12">
      <c r="A270" s="102">
        <v>140414</v>
      </c>
      <c r="B270" s="93" t="s">
        <v>250</v>
      </c>
      <c r="C270" s="103">
        <v>211005310</v>
      </c>
      <c r="D270" s="105" t="s">
        <v>3020</v>
      </c>
      <c r="E270" s="95">
        <v>362</v>
      </c>
      <c r="F270" s="35">
        <v>0</v>
      </c>
    </row>
    <row r="271" spans="1:6" s="4" customFormat="1" ht="12">
      <c r="A271" s="102">
        <v>140414</v>
      </c>
      <c r="B271" s="93" t="s">
        <v>250</v>
      </c>
      <c r="C271" s="103">
        <v>211354313</v>
      </c>
      <c r="D271" s="105" t="s">
        <v>3021</v>
      </c>
      <c r="E271" s="95">
        <v>450</v>
      </c>
      <c r="F271" s="35">
        <v>0</v>
      </c>
    </row>
    <row r="272" spans="1:6" s="4" customFormat="1" ht="12">
      <c r="A272" s="102">
        <v>140414</v>
      </c>
      <c r="B272" s="93" t="s">
        <v>250</v>
      </c>
      <c r="C272" s="103">
        <v>211350313</v>
      </c>
      <c r="D272" s="105" t="s">
        <v>3022</v>
      </c>
      <c r="E272" s="95">
        <v>775</v>
      </c>
      <c r="F272" s="35">
        <v>0</v>
      </c>
    </row>
    <row r="273" spans="1:6" s="4" customFormat="1" ht="12">
      <c r="A273" s="102">
        <v>140414</v>
      </c>
      <c r="B273" s="93" t="s">
        <v>250</v>
      </c>
      <c r="C273" s="106" t="s">
        <v>3023</v>
      </c>
      <c r="D273" s="105" t="s">
        <v>3024</v>
      </c>
      <c r="E273" s="95">
        <v>194</v>
      </c>
      <c r="F273" s="35">
        <v>0</v>
      </c>
    </row>
    <row r="274" spans="1:6" s="4" customFormat="1" ht="12">
      <c r="A274" s="102">
        <v>140414</v>
      </c>
      <c r="B274" s="93" t="s">
        <v>250</v>
      </c>
      <c r="C274" s="106" t="s">
        <v>3025</v>
      </c>
      <c r="D274" s="105" t="s">
        <v>3026</v>
      </c>
      <c r="E274" s="95">
        <v>78</v>
      </c>
      <c r="F274" s="35">
        <v>0</v>
      </c>
    </row>
    <row r="275" spans="1:6" s="4" customFormat="1" ht="12">
      <c r="A275" s="102">
        <v>140414</v>
      </c>
      <c r="B275" s="93" t="s">
        <v>250</v>
      </c>
      <c r="C275" s="103" t="s">
        <v>3027</v>
      </c>
      <c r="D275" s="105" t="s">
        <v>3028</v>
      </c>
      <c r="E275" s="95">
        <v>247</v>
      </c>
      <c r="F275" s="35">
        <v>0</v>
      </c>
    </row>
    <row r="276" spans="1:6" s="4" customFormat="1" ht="12">
      <c r="A276" s="102">
        <v>140414</v>
      </c>
      <c r="B276" s="93" t="s">
        <v>250</v>
      </c>
      <c r="C276" s="103">
        <v>211752317</v>
      </c>
      <c r="D276" s="105" t="s">
        <v>3029</v>
      </c>
      <c r="E276" s="95">
        <v>134</v>
      </c>
      <c r="F276" s="35">
        <v>0</v>
      </c>
    </row>
    <row r="277" spans="1:6" s="4" customFormat="1" ht="12">
      <c r="A277" s="102">
        <v>140414</v>
      </c>
      <c r="B277" s="93" t="s">
        <v>250</v>
      </c>
      <c r="C277" s="103" t="s">
        <v>3030</v>
      </c>
      <c r="D277" s="105" t="s">
        <v>3031</v>
      </c>
      <c r="E277" s="95">
        <v>255</v>
      </c>
      <c r="F277" s="35">
        <v>0</v>
      </c>
    </row>
    <row r="278" spans="1:6" s="4" customFormat="1" ht="12">
      <c r="A278" s="102">
        <v>140414</v>
      </c>
      <c r="B278" s="93" t="s">
        <v>250</v>
      </c>
      <c r="C278" s="103" t="s">
        <v>3032</v>
      </c>
      <c r="D278" s="105" t="s">
        <v>3033</v>
      </c>
      <c r="E278" s="95">
        <v>130</v>
      </c>
      <c r="F278" s="35">
        <v>0</v>
      </c>
    </row>
    <row r="279" spans="1:6" s="4" customFormat="1" ht="12">
      <c r="A279" s="102">
        <v>140414</v>
      </c>
      <c r="B279" s="93" t="s">
        <v>250</v>
      </c>
      <c r="C279" s="106" t="s">
        <v>3034</v>
      </c>
      <c r="D279" s="105" t="s">
        <v>3035</v>
      </c>
      <c r="E279" s="95">
        <v>109</v>
      </c>
      <c r="F279" s="35">
        <v>0</v>
      </c>
    </row>
    <row r="280" spans="1:6" s="4" customFormat="1" ht="12">
      <c r="A280" s="102">
        <v>140414</v>
      </c>
      <c r="B280" s="93" t="s">
        <v>250</v>
      </c>
      <c r="C280" s="103" t="s">
        <v>3036</v>
      </c>
      <c r="D280" s="105" t="s">
        <v>3037</v>
      </c>
      <c r="E280" s="95">
        <v>640</v>
      </c>
      <c r="F280" s="35">
        <v>0</v>
      </c>
    </row>
    <row r="281" spans="1:6" s="4" customFormat="1" ht="12">
      <c r="A281" s="102">
        <v>140414</v>
      </c>
      <c r="B281" s="93" t="s">
        <v>250</v>
      </c>
      <c r="C281" s="103">
        <v>211847318</v>
      </c>
      <c r="D281" s="105" t="s">
        <v>3038</v>
      </c>
      <c r="E281" s="95">
        <v>279</v>
      </c>
      <c r="F281" s="35">
        <v>0</v>
      </c>
    </row>
    <row r="282" spans="1:6" s="4" customFormat="1" ht="12">
      <c r="A282" s="102">
        <v>140414</v>
      </c>
      <c r="B282" s="93" t="s">
        <v>250</v>
      </c>
      <c r="C282" s="103">
        <v>211973319</v>
      </c>
      <c r="D282" s="105" t="s">
        <v>3039</v>
      </c>
      <c r="E282" s="95">
        <v>318</v>
      </c>
      <c r="F282" s="35">
        <v>0</v>
      </c>
    </row>
    <row r="283" spans="1:6" s="4" customFormat="1" ht="12">
      <c r="A283" s="102">
        <v>140414</v>
      </c>
      <c r="B283" s="93" t="s">
        <v>250</v>
      </c>
      <c r="C283" s="106">
        <v>212268322</v>
      </c>
      <c r="D283" s="105" t="s">
        <v>3040</v>
      </c>
      <c r="E283" s="95">
        <v>117</v>
      </c>
      <c r="F283" s="35">
        <v>0</v>
      </c>
    </row>
    <row r="284" spans="1:6" s="4" customFormat="1" ht="12">
      <c r="A284" s="102">
        <v>140414</v>
      </c>
      <c r="B284" s="93" t="s">
        <v>250</v>
      </c>
      <c r="C284" s="103" t="s">
        <v>3041</v>
      </c>
      <c r="D284" s="105" t="s">
        <v>3042</v>
      </c>
      <c r="E284" s="95">
        <v>702</v>
      </c>
      <c r="F284" s="35">
        <v>0</v>
      </c>
    </row>
    <row r="285" spans="1:6" s="4" customFormat="1" ht="12">
      <c r="A285" s="102">
        <v>140414</v>
      </c>
      <c r="B285" s="93" t="s">
        <v>250</v>
      </c>
      <c r="C285" s="103">
        <v>212225322</v>
      </c>
      <c r="D285" s="105" t="s">
        <v>3043</v>
      </c>
      <c r="E285" s="95">
        <v>325</v>
      </c>
      <c r="F285" s="35">
        <v>0</v>
      </c>
    </row>
    <row r="286" spans="1:6" s="4" customFormat="1" ht="12">
      <c r="A286" s="102">
        <v>140414</v>
      </c>
      <c r="B286" s="93" t="s">
        <v>250</v>
      </c>
      <c r="C286" s="103" t="s">
        <v>3044</v>
      </c>
      <c r="D286" s="105" t="s">
        <v>3045</v>
      </c>
      <c r="E286" s="95">
        <v>256</v>
      </c>
      <c r="F286" s="35">
        <v>0</v>
      </c>
    </row>
    <row r="287" spans="1:6" s="4" customFormat="1" ht="12">
      <c r="A287" s="102">
        <v>140414</v>
      </c>
      <c r="B287" s="93" t="s">
        <v>250</v>
      </c>
      <c r="C287" s="103" t="s">
        <v>3046</v>
      </c>
      <c r="D287" s="105" t="s">
        <v>3047</v>
      </c>
      <c r="E287" s="95">
        <v>216</v>
      </c>
      <c r="F287" s="35">
        <v>0</v>
      </c>
    </row>
    <row r="288" spans="1:6" s="4" customFormat="1" ht="12">
      <c r="A288" s="102">
        <v>140414</v>
      </c>
      <c r="B288" s="93" t="s">
        <v>250</v>
      </c>
      <c r="C288" s="103" t="s">
        <v>3048</v>
      </c>
      <c r="D288" s="105" t="s">
        <v>3049</v>
      </c>
      <c r="E288" s="95">
        <v>197</v>
      </c>
      <c r="F288" s="35">
        <v>0</v>
      </c>
    </row>
    <row r="289" spans="1:6" s="4" customFormat="1" ht="12">
      <c r="A289" s="102">
        <v>140414</v>
      </c>
      <c r="B289" s="93" t="s">
        <v>250</v>
      </c>
      <c r="C289" s="106">
        <v>211866318</v>
      </c>
      <c r="D289" s="105" t="s">
        <v>3050</v>
      </c>
      <c r="E289" s="95">
        <v>167</v>
      </c>
      <c r="F289" s="35">
        <v>0</v>
      </c>
    </row>
    <row r="290" spans="1:6" s="4" customFormat="1" ht="12">
      <c r="A290" s="102">
        <v>140414</v>
      </c>
      <c r="B290" s="93" t="s">
        <v>250</v>
      </c>
      <c r="C290" s="106" t="s">
        <v>3051</v>
      </c>
      <c r="D290" s="105" t="s">
        <v>3052</v>
      </c>
      <c r="E290" s="95">
        <v>134</v>
      </c>
      <c r="F290" s="35">
        <v>0</v>
      </c>
    </row>
    <row r="291" spans="1:6" s="4" customFormat="1" ht="12">
      <c r="A291" s="102">
        <v>140414</v>
      </c>
      <c r="B291" s="93" t="s">
        <v>250</v>
      </c>
      <c r="C291" s="103">
        <v>215573055</v>
      </c>
      <c r="D291" s="105" t="s">
        <v>3053</v>
      </c>
      <c r="E291" s="95">
        <v>308</v>
      </c>
      <c r="F291" s="35">
        <v>0</v>
      </c>
    </row>
    <row r="292" spans="1:6" s="4" customFormat="1" ht="12">
      <c r="A292" s="102">
        <v>140414</v>
      </c>
      <c r="B292" s="93" t="s">
        <v>250</v>
      </c>
      <c r="C292" s="103" t="s">
        <v>3054</v>
      </c>
      <c r="D292" s="105" t="s">
        <v>3055</v>
      </c>
      <c r="E292" s="95">
        <v>237</v>
      </c>
      <c r="F292" s="35">
        <v>0</v>
      </c>
    </row>
    <row r="293" spans="1:6" s="4" customFormat="1" ht="12">
      <c r="A293" s="102">
        <v>140414</v>
      </c>
      <c r="B293" s="93" t="s">
        <v>250</v>
      </c>
      <c r="C293" s="103" t="s">
        <v>3056</v>
      </c>
      <c r="D293" s="105" t="s">
        <v>3057</v>
      </c>
      <c r="E293" s="95">
        <v>122</v>
      </c>
      <c r="F293" s="35">
        <v>0</v>
      </c>
    </row>
    <row r="294" spans="1:6" s="4" customFormat="1" ht="12">
      <c r="A294" s="102">
        <v>140414</v>
      </c>
      <c r="B294" s="93" t="s">
        <v>250</v>
      </c>
      <c r="C294" s="106">
        <v>212768327</v>
      </c>
      <c r="D294" s="105" t="s">
        <v>3058</v>
      </c>
      <c r="E294" s="95">
        <v>118</v>
      </c>
      <c r="F294" s="35">
        <v>0</v>
      </c>
    </row>
    <row r="295" spans="1:6" s="4" customFormat="1" ht="12">
      <c r="A295" s="102">
        <v>140414</v>
      </c>
      <c r="B295" s="93" t="s">
        <v>250</v>
      </c>
      <c r="C295" s="103">
        <v>213215332</v>
      </c>
      <c r="D295" s="105" t="s">
        <v>3059</v>
      </c>
      <c r="E295" s="95">
        <v>129</v>
      </c>
      <c r="F295" s="35">
        <v>0</v>
      </c>
    </row>
    <row r="296" spans="1:6" s="4" customFormat="1" ht="12">
      <c r="A296" s="102">
        <v>140414</v>
      </c>
      <c r="B296" s="93" t="s">
        <v>250</v>
      </c>
      <c r="C296" s="103" t="s">
        <v>3060</v>
      </c>
      <c r="D296" s="105" t="s">
        <v>3061</v>
      </c>
      <c r="E296" s="95">
        <v>6</v>
      </c>
      <c r="F296" s="35">
        <v>0</v>
      </c>
    </row>
    <row r="297" spans="1:6" s="4" customFormat="1" ht="12">
      <c r="A297" s="102">
        <v>140414</v>
      </c>
      <c r="B297" s="93" t="s">
        <v>250</v>
      </c>
      <c r="C297" s="103" t="s">
        <v>3062</v>
      </c>
      <c r="D297" s="105" t="s">
        <v>3063</v>
      </c>
      <c r="E297" s="95">
        <v>94</v>
      </c>
      <c r="F297" s="35">
        <v>0</v>
      </c>
    </row>
    <row r="298" spans="1:6" s="4" customFormat="1" ht="12">
      <c r="A298" s="102">
        <v>140414</v>
      </c>
      <c r="B298" s="93" t="s">
        <v>250</v>
      </c>
      <c r="C298" s="103">
        <v>212585125</v>
      </c>
      <c r="D298" s="105" t="s">
        <v>3064</v>
      </c>
      <c r="E298" s="95">
        <v>235</v>
      </c>
      <c r="F298" s="35">
        <v>0</v>
      </c>
    </row>
    <row r="299" spans="1:6" s="4" customFormat="1" ht="12">
      <c r="A299" s="102">
        <v>140414</v>
      </c>
      <c r="B299" s="93" t="s">
        <v>250</v>
      </c>
      <c r="C299" s="103">
        <v>214754347</v>
      </c>
      <c r="D299" s="105" t="s">
        <v>3065</v>
      </c>
      <c r="E299" s="95">
        <v>141</v>
      </c>
      <c r="F299" s="35">
        <v>0</v>
      </c>
    </row>
    <row r="300" spans="1:6" s="4" customFormat="1" ht="12">
      <c r="A300" s="102">
        <v>140414</v>
      </c>
      <c r="B300" s="93" t="s">
        <v>250</v>
      </c>
      <c r="C300" s="103">
        <v>214773347</v>
      </c>
      <c r="D300" s="105" t="s">
        <v>3066</v>
      </c>
      <c r="E300" s="95">
        <v>197</v>
      </c>
      <c r="F300" s="35">
        <v>0</v>
      </c>
    </row>
    <row r="301" spans="1:6" s="4" customFormat="1" ht="12">
      <c r="A301" s="102">
        <v>140414</v>
      </c>
      <c r="B301" s="93" t="s">
        <v>250</v>
      </c>
      <c r="C301" s="103">
        <v>214973349</v>
      </c>
      <c r="D301" s="105" t="s">
        <v>3067</v>
      </c>
      <c r="E301" s="95">
        <v>655</v>
      </c>
      <c r="F301" s="35">
        <v>0</v>
      </c>
    </row>
    <row r="302" spans="1:6" s="4" customFormat="1" ht="12">
      <c r="A302" s="102">
        <v>140414</v>
      </c>
      <c r="B302" s="93" t="s">
        <v>250</v>
      </c>
      <c r="C302" s="103">
        <v>210173001</v>
      </c>
      <c r="D302" s="105" t="s">
        <v>3068</v>
      </c>
      <c r="E302" s="95">
        <v>50563</v>
      </c>
      <c r="F302" s="35">
        <v>0</v>
      </c>
    </row>
    <row r="303" spans="1:6" s="4" customFormat="1" ht="12">
      <c r="A303" s="102">
        <v>140414</v>
      </c>
      <c r="B303" s="93" t="s">
        <v>250</v>
      </c>
      <c r="C303" s="103">
        <v>215273352</v>
      </c>
      <c r="D303" s="105" t="s">
        <v>3069</v>
      </c>
      <c r="E303" s="95">
        <v>499</v>
      </c>
      <c r="F303" s="35">
        <v>0</v>
      </c>
    </row>
    <row r="304" spans="1:6" s="4" customFormat="1" ht="12">
      <c r="A304" s="102">
        <v>140414</v>
      </c>
      <c r="B304" s="93" t="s">
        <v>250</v>
      </c>
      <c r="C304" s="103">
        <v>215519355</v>
      </c>
      <c r="D304" s="105" t="s">
        <v>3070</v>
      </c>
      <c r="E304" s="95">
        <v>189</v>
      </c>
      <c r="F304" s="35">
        <v>0</v>
      </c>
    </row>
    <row r="305" spans="1:6" s="4" customFormat="1" ht="12">
      <c r="A305" s="102">
        <v>140414</v>
      </c>
      <c r="B305" s="93" t="s">
        <v>250</v>
      </c>
      <c r="C305" s="103" t="s">
        <v>3071</v>
      </c>
      <c r="D305" s="105" t="s">
        <v>3072</v>
      </c>
      <c r="E305" s="95">
        <v>117</v>
      </c>
      <c r="F305" s="35">
        <v>0</v>
      </c>
    </row>
    <row r="306" spans="1:6" s="4" customFormat="1" ht="12">
      <c r="A306" s="102">
        <v>140414</v>
      </c>
      <c r="B306" s="93" t="s">
        <v>250</v>
      </c>
      <c r="C306" s="103" t="s">
        <v>3073</v>
      </c>
      <c r="D306" s="105" t="s">
        <v>3074</v>
      </c>
      <c r="E306" s="95">
        <v>268</v>
      </c>
      <c r="F306" s="35">
        <v>0</v>
      </c>
    </row>
    <row r="307" spans="1:6" s="4" customFormat="1" ht="12">
      <c r="A307" s="102">
        <v>140414</v>
      </c>
      <c r="B307" s="93" t="s">
        <v>250</v>
      </c>
      <c r="C307" s="106">
        <v>216127361</v>
      </c>
      <c r="D307" s="105" t="s">
        <v>3075</v>
      </c>
      <c r="E307" s="95">
        <v>221</v>
      </c>
      <c r="F307" s="35">
        <v>0</v>
      </c>
    </row>
    <row r="308" spans="1:6" s="4" customFormat="1" ht="12">
      <c r="A308" s="102">
        <v>140414</v>
      </c>
      <c r="B308" s="93" t="s">
        <v>250</v>
      </c>
      <c r="C308" s="103">
        <v>216005360</v>
      </c>
      <c r="D308" s="105" t="s">
        <v>3076</v>
      </c>
      <c r="E308" s="95">
        <v>13822</v>
      </c>
      <c r="F308" s="35">
        <v>0</v>
      </c>
    </row>
    <row r="309" spans="1:6" s="4" customFormat="1" ht="12">
      <c r="A309" s="102">
        <v>140414</v>
      </c>
      <c r="B309" s="93" t="s">
        <v>250</v>
      </c>
      <c r="C309" s="103">
        <v>216476364</v>
      </c>
      <c r="D309" s="105" t="s">
        <v>3077</v>
      </c>
      <c r="E309" s="95">
        <v>1543</v>
      </c>
      <c r="F309" s="35">
        <v>0</v>
      </c>
    </row>
    <row r="310" spans="1:6" s="4" customFormat="1" ht="12">
      <c r="A310" s="102">
        <v>140414</v>
      </c>
      <c r="B310" s="93" t="s">
        <v>250</v>
      </c>
      <c r="C310" s="103" t="s">
        <v>3078</v>
      </c>
      <c r="D310" s="105" t="s">
        <v>3079</v>
      </c>
      <c r="E310" s="95">
        <v>226</v>
      </c>
      <c r="F310" s="35">
        <v>0</v>
      </c>
    </row>
    <row r="311" spans="1:6" s="4" customFormat="1" ht="12">
      <c r="A311" s="102">
        <v>140414</v>
      </c>
      <c r="B311" s="93" t="s">
        <v>250</v>
      </c>
      <c r="C311" s="103" t="s">
        <v>3080</v>
      </c>
      <c r="D311" s="105" t="s">
        <v>3081</v>
      </c>
      <c r="E311" s="95">
        <v>36</v>
      </c>
      <c r="F311" s="35">
        <v>0</v>
      </c>
    </row>
    <row r="312" spans="1:6" s="4" customFormat="1" ht="12">
      <c r="A312" s="102">
        <v>140414</v>
      </c>
      <c r="B312" s="93" t="s">
        <v>250</v>
      </c>
      <c r="C312" s="103" t="s">
        <v>3082</v>
      </c>
      <c r="D312" s="105" t="s">
        <v>3083</v>
      </c>
      <c r="E312" s="95">
        <v>115</v>
      </c>
      <c r="F312" s="35">
        <v>0</v>
      </c>
    </row>
    <row r="313" spans="1:6" s="4" customFormat="1" ht="12">
      <c r="A313" s="102">
        <v>140414</v>
      </c>
      <c r="B313" s="93" t="s">
        <v>250</v>
      </c>
      <c r="C313" s="103" t="s">
        <v>3084</v>
      </c>
      <c r="D313" s="105" t="s">
        <v>3085</v>
      </c>
      <c r="E313" s="95">
        <v>130</v>
      </c>
      <c r="F313" s="35">
        <v>0</v>
      </c>
    </row>
    <row r="314" spans="1:6" s="4" customFormat="1" ht="12">
      <c r="A314" s="102">
        <v>140414</v>
      </c>
      <c r="B314" s="93" t="s">
        <v>250</v>
      </c>
      <c r="C314" s="103" t="s">
        <v>3086</v>
      </c>
      <c r="D314" s="105" t="s">
        <v>3087</v>
      </c>
      <c r="E314" s="95">
        <v>131</v>
      </c>
      <c r="F314" s="35">
        <v>0</v>
      </c>
    </row>
    <row r="315" spans="1:6" s="4" customFormat="1" ht="12">
      <c r="A315" s="102">
        <v>140414</v>
      </c>
      <c r="B315" s="93" t="s">
        <v>250</v>
      </c>
      <c r="C315" s="103" t="s">
        <v>3088</v>
      </c>
      <c r="D315" s="105" t="s">
        <v>3089</v>
      </c>
      <c r="E315" s="95">
        <v>90</v>
      </c>
      <c r="F315" s="35">
        <v>0</v>
      </c>
    </row>
    <row r="316" spans="1:6" s="4" customFormat="1" ht="12">
      <c r="A316" s="102">
        <v>140414</v>
      </c>
      <c r="B316" s="93" t="s">
        <v>250</v>
      </c>
      <c r="C316" s="103" t="s">
        <v>3090</v>
      </c>
      <c r="D316" s="105" t="s">
        <v>3091</v>
      </c>
      <c r="E316" s="95">
        <v>31</v>
      </c>
      <c r="F316" s="35">
        <v>0</v>
      </c>
    </row>
    <row r="317" spans="1:6" s="4" customFormat="1" ht="12">
      <c r="A317" s="102">
        <v>140414</v>
      </c>
      <c r="B317" s="93" t="s">
        <v>250</v>
      </c>
      <c r="C317" s="106" t="s">
        <v>3092</v>
      </c>
      <c r="D317" s="105" t="s">
        <v>3093</v>
      </c>
      <c r="E317" s="95">
        <v>122</v>
      </c>
      <c r="F317" s="35">
        <v>0</v>
      </c>
    </row>
    <row r="318" spans="1:6" s="4" customFormat="1" ht="12">
      <c r="A318" s="102">
        <v>140414</v>
      </c>
      <c r="B318" s="93" t="s">
        <v>250</v>
      </c>
      <c r="C318" s="103" t="s">
        <v>3094</v>
      </c>
      <c r="D318" s="105" t="s">
        <v>3095</v>
      </c>
      <c r="E318" s="95">
        <v>72</v>
      </c>
      <c r="F318" s="35">
        <v>0</v>
      </c>
    </row>
    <row r="319" spans="1:6" s="4" customFormat="1" ht="12">
      <c r="A319" s="102">
        <v>140414</v>
      </c>
      <c r="B319" s="93" t="s">
        <v>250</v>
      </c>
      <c r="C319" s="103" t="s">
        <v>3096</v>
      </c>
      <c r="D319" s="105" t="s">
        <v>3097</v>
      </c>
      <c r="E319" s="95">
        <v>98</v>
      </c>
      <c r="F319" s="35">
        <v>0</v>
      </c>
    </row>
    <row r="320" spans="1:6" s="4" customFormat="1" ht="12">
      <c r="A320" s="102">
        <v>140414</v>
      </c>
      <c r="B320" s="93" t="s">
        <v>250</v>
      </c>
      <c r="C320" s="103" t="s">
        <v>3098</v>
      </c>
      <c r="D320" s="105" t="s">
        <v>3099</v>
      </c>
      <c r="E320" s="95">
        <v>79</v>
      </c>
      <c r="F320" s="35">
        <v>0</v>
      </c>
    </row>
    <row r="321" spans="1:6" s="4" customFormat="1" ht="12">
      <c r="A321" s="102">
        <v>140414</v>
      </c>
      <c r="B321" s="93" t="s">
        <v>250</v>
      </c>
      <c r="C321" s="106" t="s">
        <v>3100</v>
      </c>
      <c r="D321" s="105" t="s">
        <v>3101</v>
      </c>
      <c r="E321" s="95">
        <v>444</v>
      </c>
      <c r="F321" s="35">
        <v>0</v>
      </c>
    </row>
    <row r="322" spans="1:6" s="4" customFormat="1" ht="12">
      <c r="A322" s="102">
        <v>140414</v>
      </c>
      <c r="B322" s="93" t="s">
        <v>250</v>
      </c>
      <c r="C322" s="103">
        <v>218015380</v>
      </c>
      <c r="D322" s="105" t="s">
        <v>3102</v>
      </c>
      <c r="E322" s="95">
        <v>62</v>
      </c>
      <c r="F322" s="35">
        <v>0</v>
      </c>
    </row>
    <row r="323" spans="1:6" s="4" customFormat="1" ht="12">
      <c r="A323" s="102">
        <v>140414</v>
      </c>
      <c r="B323" s="93" t="s">
        <v>250</v>
      </c>
      <c r="C323" s="103">
        <v>217605376</v>
      </c>
      <c r="D323" s="105" t="s">
        <v>3103</v>
      </c>
      <c r="E323" s="95">
        <v>1546</v>
      </c>
      <c r="F323" s="35">
        <v>0</v>
      </c>
    </row>
    <row r="324" spans="1:6" s="4" customFormat="1" ht="12">
      <c r="A324" s="102">
        <v>140414</v>
      </c>
      <c r="B324" s="93" t="s">
        <v>250</v>
      </c>
      <c r="C324" s="103">
        <v>218366383</v>
      </c>
      <c r="D324" s="105" t="s">
        <v>3104</v>
      </c>
      <c r="E324" s="95">
        <v>132</v>
      </c>
      <c r="F324" s="35">
        <v>0</v>
      </c>
    </row>
    <row r="325" spans="1:6" s="4" customFormat="1" ht="12">
      <c r="A325" s="102">
        <v>140414</v>
      </c>
      <c r="B325" s="93" t="s">
        <v>250</v>
      </c>
      <c r="C325" s="103">
        <v>218017380</v>
      </c>
      <c r="D325" s="105" t="s">
        <v>3105</v>
      </c>
      <c r="E325" s="95">
        <v>1347</v>
      </c>
      <c r="F325" s="35">
        <v>0</v>
      </c>
    </row>
    <row r="326" spans="1:6" s="4" customFormat="1" ht="12">
      <c r="A326" s="102">
        <v>140414</v>
      </c>
      <c r="B326" s="93" t="s">
        <v>250</v>
      </c>
      <c r="C326" s="103" t="s">
        <v>3106</v>
      </c>
      <c r="D326" s="105" t="s">
        <v>3107</v>
      </c>
      <c r="E326" s="95">
        <v>1691</v>
      </c>
      <c r="F326" s="35">
        <v>0</v>
      </c>
    </row>
    <row r="327" spans="1:6" s="4" customFormat="1" ht="12">
      <c r="A327" s="102">
        <v>140414</v>
      </c>
      <c r="B327" s="93" t="s">
        <v>250</v>
      </c>
      <c r="C327" s="103">
        <v>218552385</v>
      </c>
      <c r="D327" s="105" t="s">
        <v>3108</v>
      </c>
      <c r="E327" s="95">
        <v>9</v>
      </c>
      <c r="F327" s="35">
        <v>0</v>
      </c>
    </row>
    <row r="328" spans="1:6" s="4" customFormat="1" ht="12">
      <c r="A328" s="102">
        <v>140414</v>
      </c>
      <c r="B328" s="93" t="s">
        <v>250</v>
      </c>
      <c r="C328" s="103">
        <v>215050350</v>
      </c>
      <c r="D328" s="105" t="s">
        <v>3109</v>
      </c>
      <c r="E328" s="95">
        <v>135</v>
      </c>
      <c r="F328" s="35">
        <v>0</v>
      </c>
    </row>
    <row r="329" spans="1:6" s="4" customFormat="1" ht="12">
      <c r="A329" s="102">
        <v>140414</v>
      </c>
      <c r="B329" s="93" t="s">
        <v>250</v>
      </c>
      <c r="C329" s="103">
        <v>218817388</v>
      </c>
      <c r="D329" s="105" t="s">
        <v>3110</v>
      </c>
      <c r="E329" s="95">
        <v>114</v>
      </c>
      <c r="F329" s="35">
        <v>0</v>
      </c>
    </row>
    <row r="330" spans="1:6" s="4" customFormat="1" ht="12">
      <c r="A330" s="102">
        <v>140414</v>
      </c>
      <c r="B330" s="93" t="s">
        <v>250</v>
      </c>
      <c r="C330" s="106" t="s">
        <v>3111</v>
      </c>
      <c r="D330" s="105" t="s">
        <v>3112</v>
      </c>
      <c r="E330" s="95">
        <v>830</v>
      </c>
      <c r="F330" s="35">
        <v>0</v>
      </c>
    </row>
    <row r="331" spans="1:6" s="4" customFormat="1" ht="12">
      <c r="A331" s="102">
        <v>140414</v>
      </c>
      <c r="B331" s="93" t="s">
        <v>250</v>
      </c>
      <c r="C331" s="106" t="s">
        <v>3113</v>
      </c>
      <c r="D331" s="105" t="s">
        <v>3114</v>
      </c>
      <c r="E331" s="95">
        <v>151</v>
      </c>
      <c r="F331" s="35">
        <v>0</v>
      </c>
    </row>
    <row r="332" spans="1:6" s="4" customFormat="1" ht="12">
      <c r="A332" s="102">
        <v>140414</v>
      </c>
      <c r="B332" s="93" t="s">
        <v>250</v>
      </c>
      <c r="C332" s="103" t="s">
        <v>3115</v>
      </c>
      <c r="D332" s="105" t="s">
        <v>3116</v>
      </c>
      <c r="E332" s="95">
        <v>88</v>
      </c>
      <c r="F332" s="35">
        <v>0</v>
      </c>
    </row>
    <row r="333" spans="1:6" s="4" customFormat="1" ht="12">
      <c r="A333" s="102">
        <v>140414</v>
      </c>
      <c r="B333" s="93" t="s">
        <v>250</v>
      </c>
      <c r="C333" s="106" t="s">
        <v>3117</v>
      </c>
      <c r="D333" s="105" t="s">
        <v>3118</v>
      </c>
      <c r="E333" s="95">
        <v>122</v>
      </c>
      <c r="F333" s="35">
        <v>0</v>
      </c>
    </row>
    <row r="334" spans="1:6" s="4" customFormat="1" ht="12">
      <c r="A334" s="102">
        <v>140414</v>
      </c>
      <c r="B334" s="93" t="s">
        <v>250</v>
      </c>
      <c r="C334" s="103" t="s">
        <v>3119</v>
      </c>
      <c r="D334" s="105" t="s">
        <v>3120</v>
      </c>
      <c r="E334" s="95">
        <v>522</v>
      </c>
      <c r="F334" s="35">
        <v>0</v>
      </c>
    </row>
    <row r="335" spans="1:6" s="4" customFormat="1" ht="12">
      <c r="A335" s="102">
        <v>140414</v>
      </c>
      <c r="B335" s="93" t="s">
        <v>250</v>
      </c>
      <c r="C335" s="103" t="s">
        <v>3121</v>
      </c>
      <c r="D335" s="105" t="s">
        <v>3122</v>
      </c>
      <c r="E335" s="95">
        <v>484</v>
      </c>
      <c r="F335" s="35">
        <v>0</v>
      </c>
    </row>
    <row r="336" spans="1:6" s="4" customFormat="1" ht="12">
      <c r="A336" s="102">
        <v>140414</v>
      </c>
      <c r="B336" s="93" t="s">
        <v>250</v>
      </c>
      <c r="C336" s="103">
        <v>219854398</v>
      </c>
      <c r="D336" s="105" t="s">
        <v>3123</v>
      </c>
      <c r="E336" s="95">
        <v>109</v>
      </c>
      <c r="F336" s="35">
        <v>0</v>
      </c>
    </row>
    <row r="337" spans="1:6" s="4" customFormat="1" ht="12">
      <c r="A337" s="102">
        <v>140414</v>
      </c>
      <c r="B337" s="93" t="s">
        <v>250</v>
      </c>
      <c r="C337" s="103">
        <v>212499524</v>
      </c>
      <c r="D337" s="105" t="s">
        <v>3124</v>
      </c>
      <c r="E337" s="95">
        <v>274</v>
      </c>
      <c r="F337" s="35">
        <v>0</v>
      </c>
    </row>
    <row r="338" spans="1:6" s="4" customFormat="1" ht="12">
      <c r="A338" s="102">
        <v>140414</v>
      </c>
      <c r="B338" s="93" t="s">
        <v>250</v>
      </c>
      <c r="C338" s="103">
        <v>219219392</v>
      </c>
      <c r="D338" s="105" t="s">
        <v>3125</v>
      </c>
      <c r="E338" s="95">
        <v>11</v>
      </c>
      <c r="F338" s="35">
        <v>0</v>
      </c>
    </row>
    <row r="339" spans="1:6" s="4" customFormat="1" ht="12">
      <c r="A339" s="102">
        <v>140414</v>
      </c>
      <c r="B339" s="93" t="s">
        <v>250</v>
      </c>
      <c r="C339" s="106">
        <v>210163401</v>
      </c>
      <c r="D339" s="105" t="s">
        <v>3126</v>
      </c>
      <c r="E339" s="95">
        <v>502</v>
      </c>
      <c r="F339" s="35">
        <v>0</v>
      </c>
    </row>
    <row r="340" spans="1:6" s="4" customFormat="1" ht="12">
      <c r="A340" s="102">
        <v>140414</v>
      </c>
      <c r="B340" s="93" t="s">
        <v>250</v>
      </c>
      <c r="C340" s="103">
        <v>210070400</v>
      </c>
      <c r="D340" s="105" t="s">
        <v>3127</v>
      </c>
      <c r="E340" s="95">
        <v>310</v>
      </c>
      <c r="F340" s="35">
        <v>0</v>
      </c>
    </row>
    <row r="341" spans="1:6" s="4" customFormat="1" ht="12">
      <c r="A341" s="102">
        <v>140414</v>
      </c>
      <c r="B341" s="93" t="s">
        <v>250</v>
      </c>
      <c r="C341" s="103">
        <v>210076400</v>
      </c>
      <c r="D341" s="105" t="s">
        <v>3128</v>
      </c>
      <c r="E341" s="95">
        <v>369</v>
      </c>
      <c r="F341" s="35">
        <v>0</v>
      </c>
    </row>
    <row r="342" spans="1:6" s="4" customFormat="1" ht="12">
      <c r="A342" s="102">
        <v>140414</v>
      </c>
      <c r="B342" s="93" t="s">
        <v>250</v>
      </c>
      <c r="C342" s="103">
        <v>219952399</v>
      </c>
      <c r="D342" s="105" t="s">
        <v>3129</v>
      </c>
      <c r="E342" s="95">
        <v>308</v>
      </c>
      <c r="F342" s="35">
        <v>0</v>
      </c>
    </row>
    <row r="343" spans="1:6" s="4" customFormat="1" ht="12">
      <c r="A343" s="102">
        <v>140414</v>
      </c>
      <c r="B343" s="93" t="s">
        <v>250</v>
      </c>
      <c r="C343" s="103" t="s">
        <v>3130</v>
      </c>
      <c r="D343" s="105" t="s">
        <v>3131</v>
      </c>
      <c r="E343" s="95">
        <v>413</v>
      </c>
      <c r="F343" s="35">
        <v>0</v>
      </c>
    </row>
    <row r="344" spans="1:6" s="4" customFormat="1" ht="12">
      <c r="A344" s="102">
        <v>140414</v>
      </c>
      <c r="B344" s="93" t="s">
        <v>250</v>
      </c>
      <c r="C344" s="103" t="s">
        <v>3132</v>
      </c>
      <c r="D344" s="105" t="s">
        <v>3133</v>
      </c>
      <c r="E344" s="95">
        <v>95</v>
      </c>
      <c r="F344" s="35">
        <v>0</v>
      </c>
    </row>
    <row r="345" spans="1:6" s="4" customFormat="1" ht="12">
      <c r="A345" s="102">
        <v>140414</v>
      </c>
      <c r="B345" s="93" t="s">
        <v>250</v>
      </c>
      <c r="C345" s="103">
        <v>219719397</v>
      </c>
      <c r="D345" s="105" t="s">
        <v>3134</v>
      </c>
      <c r="E345" s="95">
        <v>547</v>
      </c>
      <c r="F345" s="35">
        <v>0</v>
      </c>
    </row>
    <row r="346" spans="1:6" s="4" customFormat="1" ht="12">
      <c r="A346" s="102">
        <v>140414</v>
      </c>
      <c r="B346" s="93" t="s">
        <v>250</v>
      </c>
      <c r="C346" s="103" t="s">
        <v>3135</v>
      </c>
      <c r="D346" s="105" t="s">
        <v>3136</v>
      </c>
      <c r="E346" s="95">
        <v>111</v>
      </c>
      <c r="F346" s="35">
        <v>0</v>
      </c>
    </row>
    <row r="347" spans="1:6" s="4" customFormat="1" ht="12">
      <c r="A347" s="102">
        <v>140414</v>
      </c>
      <c r="B347" s="93" t="s">
        <v>250</v>
      </c>
      <c r="C347" s="103">
        <v>210376403</v>
      </c>
      <c r="D347" s="105" t="s">
        <v>3137</v>
      </c>
      <c r="E347" s="95">
        <v>265</v>
      </c>
      <c r="F347" s="35">
        <v>0</v>
      </c>
    </row>
    <row r="348" spans="1:6" s="4" customFormat="1" ht="12">
      <c r="A348" s="102">
        <v>140414</v>
      </c>
      <c r="B348" s="93" t="s">
        <v>250</v>
      </c>
      <c r="C348" s="106">
        <v>210066400</v>
      </c>
      <c r="D348" s="105" t="s">
        <v>3138</v>
      </c>
      <c r="E348" s="95">
        <v>520</v>
      </c>
      <c r="F348" s="35">
        <v>0</v>
      </c>
    </row>
    <row r="349" spans="1:6" s="4" customFormat="1" ht="12">
      <c r="A349" s="102">
        <v>140414</v>
      </c>
      <c r="B349" s="93" t="s">
        <v>250</v>
      </c>
      <c r="C349" s="103" t="s">
        <v>3139</v>
      </c>
      <c r="D349" s="105" t="s">
        <v>3140</v>
      </c>
      <c r="E349" s="95">
        <v>134</v>
      </c>
      <c r="F349" s="35">
        <v>0</v>
      </c>
    </row>
    <row r="350" spans="1:6" s="4" customFormat="1" ht="12">
      <c r="A350" s="102">
        <v>140414</v>
      </c>
      <c r="B350" s="93" t="s">
        <v>250</v>
      </c>
      <c r="C350" s="107">
        <v>218568385</v>
      </c>
      <c r="D350" s="105" t="s">
        <v>3141</v>
      </c>
      <c r="E350" s="95">
        <v>182</v>
      </c>
      <c r="F350" s="35">
        <v>0</v>
      </c>
    </row>
    <row r="351" spans="1:6" s="4" customFormat="1" ht="12">
      <c r="A351" s="102">
        <v>140414</v>
      </c>
      <c r="B351" s="93" t="s">
        <v>250</v>
      </c>
      <c r="C351" s="103">
        <v>210668406</v>
      </c>
      <c r="D351" s="105" t="s">
        <v>3142</v>
      </c>
      <c r="E351" s="95">
        <v>110</v>
      </c>
      <c r="F351" s="35">
        <v>0</v>
      </c>
    </row>
    <row r="352" spans="1:6" s="4" customFormat="1" ht="12">
      <c r="A352" s="102">
        <v>140414</v>
      </c>
      <c r="B352" s="93" t="s">
        <v>250</v>
      </c>
      <c r="C352" s="103">
        <v>210050400</v>
      </c>
      <c r="D352" s="105" t="s">
        <v>3143</v>
      </c>
      <c r="E352" s="95">
        <v>147</v>
      </c>
      <c r="F352" s="35">
        <v>0</v>
      </c>
    </row>
    <row r="353" spans="1:6" s="4" customFormat="1" ht="12">
      <c r="A353" s="102">
        <v>140414</v>
      </c>
      <c r="B353" s="93" t="s">
        <v>250</v>
      </c>
      <c r="C353" s="106" t="s">
        <v>3144</v>
      </c>
      <c r="D353" s="105" t="s">
        <v>3145</v>
      </c>
      <c r="E353" s="95">
        <v>103</v>
      </c>
      <c r="F353" s="35">
        <v>0</v>
      </c>
    </row>
    <row r="354" spans="1:6" s="4" customFormat="1" ht="12">
      <c r="A354" s="102">
        <v>140414</v>
      </c>
      <c r="B354" s="93" t="s">
        <v>250</v>
      </c>
      <c r="C354" s="103">
        <v>210873408</v>
      </c>
      <c r="D354" s="105" t="s">
        <v>3146</v>
      </c>
      <c r="E354" s="95">
        <v>19</v>
      </c>
      <c r="F354" s="35">
        <v>0</v>
      </c>
    </row>
    <row r="355" spans="1:6" s="4" customFormat="1" ht="12">
      <c r="A355" s="102">
        <v>140414</v>
      </c>
      <c r="B355" s="93" t="s">
        <v>250</v>
      </c>
      <c r="C355" s="103">
        <v>210191001</v>
      </c>
      <c r="D355" s="105" t="s">
        <v>3147</v>
      </c>
      <c r="E355" s="95">
        <v>851</v>
      </c>
      <c r="F355" s="35">
        <v>0</v>
      </c>
    </row>
    <row r="356" spans="1:6" s="4" customFormat="1" ht="12">
      <c r="A356" s="102">
        <v>140414</v>
      </c>
      <c r="B356" s="93" t="s">
        <v>250</v>
      </c>
      <c r="C356" s="103">
        <v>211173411</v>
      </c>
      <c r="D356" s="105" t="s">
        <v>3148</v>
      </c>
      <c r="E356" s="95">
        <v>435</v>
      </c>
      <c r="F356" s="35">
        <v>0</v>
      </c>
    </row>
    <row r="357" spans="1:6" s="4" customFormat="1" ht="12">
      <c r="A357" s="102">
        <v>140414</v>
      </c>
      <c r="B357" s="93" t="s">
        <v>250</v>
      </c>
      <c r="C357" s="103" t="s">
        <v>3149</v>
      </c>
      <c r="D357" s="105" t="s">
        <v>3150</v>
      </c>
      <c r="E357" s="95">
        <v>830</v>
      </c>
      <c r="F357" s="35">
        <v>0</v>
      </c>
    </row>
    <row r="358" spans="1:6" s="4" customFormat="1" ht="12">
      <c r="A358" s="102">
        <v>140414</v>
      </c>
      <c r="B358" s="93" t="s">
        <v>250</v>
      </c>
      <c r="C358" s="103" t="s">
        <v>3151</v>
      </c>
      <c r="D358" s="105" t="s">
        <v>3152</v>
      </c>
      <c r="E358" s="95">
        <v>208</v>
      </c>
      <c r="F358" s="35">
        <v>0</v>
      </c>
    </row>
    <row r="359" spans="1:6" s="4" customFormat="1" ht="12">
      <c r="A359" s="102">
        <v>140414</v>
      </c>
      <c r="B359" s="93" t="s">
        <v>250</v>
      </c>
      <c r="C359" s="103" t="s">
        <v>3153</v>
      </c>
      <c r="D359" s="105" t="s">
        <v>3154</v>
      </c>
      <c r="E359" s="95">
        <v>258</v>
      </c>
      <c r="F359" s="35">
        <v>0</v>
      </c>
    </row>
    <row r="360" spans="1:6" s="4" customFormat="1" ht="12">
      <c r="A360" s="102">
        <v>140414</v>
      </c>
      <c r="B360" s="93" t="s">
        <v>250</v>
      </c>
      <c r="C360" s="103" t="s">
        <v>3155</v>
      </c>
      <c r="D360" s="105" t="s">
        <v>3156</v>
      </c>
      <c r="E360" s="95">
        <v>145</v>
      </c>
      <c r="F360" s="35">
        <v>0</v>
      </c>
    </row>
    <row r="361" spans="1:6" s="4" customFormat="1" ht="12">
      <c r="A361" s="102">
        <v>140414</v>
      </c>
      <c r="B361" s="93" t="s">
        <v>250</v>
      </c>
      <c r="C361" s="103" t="s">
        <v>3157</v>
      </c>
      <c r="D361" s="105" t="s">
        <v>3158</v>
      </c>
      <c r="E361" s="95">
        <v>298</v>
      </c>
      <c r="F361" s="35">
        <v>0</v>
      </c>
    </row>
    <row r="362" spans="1:6" s="4" customFormat="1" ht="12">
      <c r="A362" s="102">
        <v>140414</v>
      </c>
      <c r="B362" s="93" t="s">
        <v>250</v>
      </c>
      <c r="C362" s="106" t="s">
        <v>3159</v>
      </c>
      <c r="D362" s="105" t="s">
        <v>3160</v>
      </c>
      <c r="E362" s="95">
        <v>10</v>
      </c>
      <c r="F362" s="35">
        <v>0</v>
      </c>
    </row>
    <row r="363" spans="1:6" s="4" customFormat="1" ht="12">
      <c r="A363" s="102">
        <v>140414</v>
      </c>
      <c r="B363" s="93" t="s">
        <v>250</v>
      </c>
      <c r="C363" s="103" t="s">
        <v>3161</v>
      </c>
      <c r="D363" s="105" t="s">
        <v>3162</v>
      </c>
      <c r="E363" s="95">
        <v>12067</v>
      </c>
      <c r="F363" s="35">
        <v>0</v>
      </c>
    </row>
    <row r="364" spans="1:6" s="4" customFormat="1" ht="12">
      <c r="A364" s="102">
        <v>140414</v>
      </c>
      <c r="B364" s="93" t="s">
        <v>250</v>
      </c>
      <c r="C364" s="103">
        <v>212752427</v>
      </c>
      <c r="D364" s="105" t="s">
        <v>3163</v>
      </c>
      <c r="E364" s="95">
        <v>177</v>
      </c>
      <c r="F364" s="35">
        <v>0</v>
      </c>
    </row>
    <row r="365" spans="1:6" s="4" customFormat="1" ht="12">
      <c r="A365" s="102">
        <v>140414</v>
      </c>
      <c r="B365" s="93" t="s">
        <v>250</v>
      </c>
      <c r="C365" s="103" t="s">
        <v>3164</v>
      </c>
      <c r="D365" s="105" t="s">
        <v>3165</v>
      </c>
      <c r="E365" s="95">
        <v>27</v>
      </c>
      <c r="F365" s="35">
        <v>0</v>
      </c>
    </row>
    <row r="366" spans="1:6" s="4" customFormat="1" ht="12">
      <c r="A366" s="102">
        <v>140414</v>
      </c>
      <c r="B366" s="93" t="s">
        <v>250</v>
      </c>
      <c r="C366" s="103" t="s">
        <v>3166</v>
      </c>
      <c r="D366" s="105" t="s">
        <v>3167</v>
      </c>
      <c r="E366" s="95">
        <v>279</v>
      </c>
      <c r="F366" s="35">
        <v>0</v>
      </c>
    </row>
    <row r="367" spans="1:6" s="4" customFormat="1" ht="12">
      <c r="A367" s="102">
        <v>140414</v>
      </c>
      <c r="B367" s="93" t="s">
        <v>250</v>
      </c>
      <c r="C367" s="103">
        <v>213552435</v>
      </c>
      <c r="D367" s="105" t="s">
        <v>3168</v>
      </c>
      <c r="E367" s="95">
        <v>161</v>
      </c>
      <c r="F367" s="35">
        <v>0</v>
      </c>
    </row>
    <row r="368" spans="1:6" s="4" customFormat="1" ht="12">
      <c r="A368" s="102">
        <v>140414</v>
      </c>
      <c r="B368" s="93" t="s">
        <v>250</v>
      </c>
      <c r="C368" s="103">
        <v>213985139</v>
      </c>
      <c r="D368" s="105" t="s">
        <v>3169</v>
      </c>
      <c r="E368" s="95">
        <v>489</v>
      </c>
      <c r="F368" s="35">
        <v>0</v>
      </c>
    </row>
    <row r="369" spans="1:6" s="4" customFormat="1" ht="12">
      <c r="A369" s="102">
        <v>140414</v>
      </c>
      <c r="B369" s="93" t="s">
        <v>250</v>
      </c>
      <c r="C369" s="103" t="s">
        <v>3170</v>
      </c>
      <c r="D369" s="105" t="s">
        <v>3171</v>
      </c>
      <c r="E369" s="95">
        <v>99409</v>
      </c>
      <c r="F369" s="35">
        <v>0</v>
      </c>
    </row>
    <row r="370" spans="1:6" s="4" customFormat="1" ht="12">
      <c r="A370" s="102">
        <v>140414</v>
      </c>
      <c r="B370" s="93" t="s">
        <v>250</v>
      </c>
      <c r="C370" s="106" t="s">
        <v>3172</v>
      </c>
      <c r="D370" s="105" t="s">
        <v>3173</v>
      </c>
      <c r="E370" s="95">
        <v>178</v>
      </c>
      <c r="F370" s="35">
        <v>0</v>
      </c>
    </row>
    <row r="371" spans="1:6" s="4" customFormat="1" ht="12">
      <c r="A371" s="102">
        <v>140414</v>
      </c>
      <c r="B371" s="93" t="s">
        <v>250</v>
      </c>
      <c r="C371" s="103">
        <v>213317433</v>
      </c>
      <c r="D371" s="105" t="s">
        <v>3174</v>
      </c>
      <c r="E371" s="95">
        <v>311</v>
      </c>
      <c r="F371" s="35">
        <v>0</v>
      </c>
    </row>
    <row r="372" spans="1:6" s="4" customFormat="1" ht="12">
      <c r="A372" s="102">
        <v>140414</v>
      </c>
      <c r="B372" s="93" t="s">
        <v>250</v>
      </c>
      <c r="C372" s="103">
        <v>212550325</v>
      </c>
      <c r="D372" s="105" t="s">
        <v>3175</v>
      </c>
      <c r="E372" s="95">
        <v>153</v>
      </c>
      <c r="F372" s="35">
        <v>0</v>
      </c>
    </row>
    <row r="373" spans="1:6" s="4" customFormat="1" ht="12">
      <c r="A373" s="102">
        <v>140414</v>
      </c>
      <c r="B373" s="93" t="s">
        <v>250</v>
      </c>
      <c r="C373" s="103" t="s">
        <v>3176</v>
      </c>
      <c r="D373" s="105" t="s">
        <v>3177</v>
      </c>
      <c r="E373" s="95">
        <v>269</v>
      </c>
      <c r="F373" s="35">
        <v>0</v>
      </c>
    </row>
    <row r="374" spans="1:6" s="4" customFormat="1" ht="12">
      <c r="A374" s="102">
        <v>140414</v>
      </c>
      <c r="B374" s="93" t="s">
        <v>250</v>
      </c>
      <c r="C374" s="103" t="s">
        <v>3178</v>
      </c>
      <c r="D374" s="105" t="s">
        <v>3179</v>
      </c>
      <c r="E374" s="95">
        <v>1097</v>
      </c>
      <c r="F374" s="35">
        <v>0</v>
      </c>
    </row>
    <row r="375" spans="1:6" s="4" customFormat="1" ht="12">
      <c r="A375" s="102">
        <v>140414</v>
      </c>
      <c r="B375" s="93" t="s">
        <v>250</v>
      </c>
      <c r="C375" s="103">
        <v>214373443</v>
      </c>
      <c r="D375" s="105" t="s">
        <v>3180</v>
      </c>
      <c r="E375" s="95">
        <v>30</v>
      </c>
      <c r="F375" s="35">
        <v>0</v>
      </c>
    </row>
    <row r="376" spans="1:6" s="4" customFormat="1" ht="12">
      <c r="A376" s="102">
        <v>140414</v>
      </c>
      <c r="B376" s="93" t="s">
        <v>250</v>
      </c>
      <c r="C376" s="103">
        <v>214417444</v>
      </c>
      <c r="D376" s="105" t="s">
        <v>3181</v>
      </c>
      <c r="E376" s="95">
        <v>193</v>
      </c>
      <c r="F376" s="35">
        <v>0</v>
      </c>
    </row>
    <row r="377" spans="1:6" s="4" customFormat="1" ht="12">
      <c r="A377" s="102">
        <v>140414</v>
      </c>
      <c r="B377" s="93" t="s">
        <v>250</v>
      </c>
      <c r="C377" s="106">
        <v>214066440</v>
      </c>
      <c r="D377" s="105" t="s">
        <v>3182</v>
      </c>
      <c r="E377" s="95">
        <v>257</v>
      </c>
      <c r="F377" s="35">
        <v>0</v>
      </c>
    </row>
    <row r="378" spans="1:6" s="4" customFormat="1" ht="12">
      <c r="A378" s="102">
        <v>140414</v>
      </c>
      <c r="B378" s="93" t="s">
        <v>250</v>
      </c>
      <c r="C378" s="103">
        <v>214617446</v>
      </c>
      <c r="D378" s="105" t="s">
        <v>3183</v>
      </c>
      <c r="E378" s="95">
        <v>169</v>
      </c>
      <c r="F378" s="35">
        <v>0</v>
      </c>
    </row>
    <row r="379" spans="1:6" s="4" customFormat="1" ht="12">
      <c r="A379" s="102">
        <v>140414</v>
      </c>
      <c r="B379" s="93" t="s">
        <v>250</v>
      </c>
      <c r="C379" s="103" t="s">
        <v>3184</v>
      </c>
      <c r="D379" s="105" t="s">
        <v>3185</v>
      </c>
      <c r="E379" s="95">
        <v>107</v>
      </c>
      <c r="F379" s="35">
        <v>0</v>
      </c>
    </row>
    <row r="380" spans="1:6" s="4" customFormat="1" ht="12">
      <c r="A380" s="102">
        <v>140414</v>
      </c>
      <c r="B380" s="93" t="s">
        <v>250</v>
      </c>
      <c r="C380" s="103" t="s">
        <v>3186</v>
      </c>
      <c r="D380" s="105" t="s">
        <v>3187</v>
      </c>
      <c r="E380" s="95">
        <v>74687</v>
      </c>
      <c r="F380" s="35">
        <v>0</v>
      </c>
    </row>
    <row r="381" spans="1:6" s="4" customFormat="1" ht="12">
      <c r="A381" s="102">
        <v>140414</v>
      </c>
      <c r="B381" s="93" t="s">
        <v>250</v>
      </c>
      <c r="C381" s="106" t="s">
        <v>3188</v>
      </c>
      <c r="D381" s="105" t="s">
        <v>3189</v>
      </c>
      <c r="E381" s="95">
        <v>421</v>
      </c>
      <c r="F381" s="35">
        <v>0</v>
      </c>
    </row>
    <row r="382" spans="1:6" s="4" customFormat="1" ht="12">
      <c r="A382" s="102">
        <v>140414</v>
      </c>
      <c r="B382" s="93" t="s">
        <v>250</v>
      </c>
      <c r="C382" s="103">
        <v>213027430</v>
      </c>
      <c r="D382" s="105" t="s">
        <v>3190</v>
      </c>
      <c r="E382" s="95">
        <v>172</v>
      </c>
      <c r="F382" s="35">
        <v>0</v>
      </c>
    </row>
    <row r="383" spans="1:6" s="4" customFormat="1" ht="12">
      <c r="A383" s="102">
        <v>140414</v>
      </c>
      <c r="B383" s="93" t="s">
        <v>250</v>
      </c>
      <c r="C383" s="103">
        <v>214973449</v>
      </c>
      <c r="D383" s="105" t="s">
        <v>3191</v>
      </c>
      <c r="E383" s="95">
        <v>957</v>
      </c>
      <c r="F383" s="35">
        <v>0</v>
      </c>
    </row>
    <row r="384" spans="1:6" s="4" customFormat="1" ht="12">
      <c r="A384" s="102">
        <v>140414</v>
      </c>
      <c r="B384" s="93" t="s">
        <v>250</v>
      </c>
      <c r="C384" s="103">
        <v>213050330</v>
      </c>
      <c r="D384" s="105" t="s">
        <v>3192</v>
      </c>
      <c r="E384" s="95">
        <v>123</v>
      </c>
      <c r="F384" s="35">
        <v>0</v>
      </c>
    </row>
    <row r="385" spans="1:6" s="4" customFormat="1" ht="12">
      <c r="A385" s="102">
        <v>140414</v>
      </c>
      <c r="B385" s="93" t="s">
        <v>250</v>
      </c>
      <c r="C385" s="103" t="s">
        <v>3193</v>
      </c>
      <c r="D385" s="105" t="s">
        <v>3194</v>
      </c>
      <c r="E385" s="95">
        <v>154</v>
      </c>
      <c r="F385" s="35">
        <v>0</v>
      </c>
    </row>
    <row r="386" spans="1:6" s="4" customFormat="1" ht="12">
      <c r="A386" s="102">
        <v>140414</v>
      </c>
      <c r="B386" s="93" t="s">
        <v>250</v>
      </c>
      <c r="C386" s="106">
        <v>210095200</v>
      </c>
      <c r="D386" s="105" t="s">
        <v>3195</v>
      </c>
      <c r="E386" s="95">
        <v>318</v>
      </c>
      <c r="F386" s="35">
        <v>0</v>
      </c>
    </row>
    <row r="387" spans="1:6" s="4" customFormat="1" ht="12">
      <c r="A387" s="102">
        <v>140414</v>
      </c>
      <c r="B387" s="93" t="s">
        <v>250</v>
      </c>
      <c r="C387" s="103" t="s">
        <v>3196</v>
      </c>
      <c r="D387" s="105" t="s">
        <v>3197</v>
      </c>
      <c r="E387" s="95">
        <v>240</v>
      </c>
      <c r="F387" s="35">
        <v>0</v>
      </c>
    </row>
    <row r="388" spans="1:6" s="4" customFormat="1" ht="12">
      <c r="A388" s="102">
        <v>140414</v>
      </c>
      <c r="B388" s="93" t="s">
        <v>250</v>
      </c>
      <c r="C388" s="103">
        <v>215519455</v>
      </c>
      <c r="D388" s="105" t="s">
        <v>3198</v>
      </c>
      <c r="E388" s="95">
        <v>410</v>
      </c>
      <c r="F388" s="35">
        <v>0</v>
      </c>
    </row>
    <row r="389" spans="1:6" s="4" customFormat="1" ht="12">
      <c r="A389" s="102">
        <v>140414</v>
      </c>
      <c r="B389" s="93" t="s">
        <v>250</v>
      </c>
      <c r="C389" s="106">
        <v>215666456</v>
      </c>
      <c r="D389" s="105" t="s">
        <v>3199</v>
      </c>
      <c r="E389" s="95">
        <v>160</v>
      </c>
      <c r="F389" s="35">
        <v>0</v>
      </c>
    </row>
    <row r="390" spans="1:6" s="4" customFormat="1" ht="12">
      <c r="A390" s="102">
        <v>140414</v>
      </c>
      <c r="B390" s="93" t="s">
        <v>250</v>
      </c>
      <c r="C390" s="103">
        <v>210197001</v>
      </c>
      <c r="D390" s="105" t="s">
        <v>3200</v>
      </c>
      <c r="E390" s="95">
        <v>390</v>
      </c>
      <c r="F390" s="35">
        <v>0</v>
      </c>
    </row>
    <row r="391" spans="1:6" s="4" customFormat="1" ht="12">
      <c r="A391" s="102">
        <v>140414</v>
      </c>
      <c r="B391" s="93" t="s">
        <v>250</v>
      </c>
      <c r="C391" s="106">
        <v>210186001</v>
      </c>
      <c r="D391" s="105" t="s">
        <v>3201</v>
      </c>
      <c r="E391" s="95">
        <v>2393</v>
      </c>
      <c r="F391" s="35">
        <v>0</v>
      </c>
    </row>
    <row r="392" spans="1:6" s="4" customFormat="1" ht="12">
      <c r="A392" s="102">
        <v>140414</v>
      </c>
      <c r="B392" s="93" t="s">
        <v>250</v>
      </c>
      <c r="C392" s="103" t="s">
        <v>3202</v>
      </c>
      <c r="D392" s="105" t="s">
        <v>3203</v>
      </c>
      <c r="E392" s="95">
        <v>48</v>
      </c>
      <c r="F392" s="35">
        <v>0</v>
      </c>
    </row>
    <row r="393" spans="1:6" s="4" customFormat="1" ht="12">
      <c r="A393" s="102">
        <v>140414</v>
      </c>
      <c r="B393" s="93" t="s">
        <v>250</v>
      </c>
      <c r="C393" s="103" t="s">
        <v>3204</v>
      </c>
      <c r="D393" s="105" t="s">
        <v>3205</v>
      </c>
      <c r="E393" s="95">
        <v>94</v>
      </c>
      <c r="F393" s="35">
        <v>0</v>
      </c>
    </row>
    <row r="394" spans="1:6" s="4" customFormat="1" ht="12">
      <c r="A394" s="102">
        <v>140414</v>
      </c>
      <c r="B394" s="93" t="s">
        <v>250</v>
      </c>
      <c r="C394" s="103">
        <v>216813468</v>
      </c>
      <c r="D394" s="105" t="s">
        <v>3206</v>
      </c>
      <c r="E394" s="95">
        <v>27</v>
      </c>
      <c r="F394" s="35">
        <v>0</v>
      </c>
    </row>
    <row r="395" spans="1:6" s="4" customFormat="1" ht="12">
      <c r="A395" s="102">
        <v>140414</v>
      </c>
      <c r="B395" s="93" t="s">
        <v>250</v>
      </c>
      <c r="C395" s="103" t="s">
        <v>3207</v>
      </c>
      <c r="D395" s="105" t="s">
        <v>3208</v>
      </c>
      <c r="E395" s="95">
        <v>132</v>
      </c>
      <c r="F395" s="35">
        <v>0</v>
      </c>
    </row>
    <row r="396" spans="1:6" s="4" customFormat="1" ht="12">
      <c r="A396" s="102">
        <v>140414</v>
      </c>
      <c r="B396" s="93" t="s">
        <v>250</v>
      </c>
      <c r="C396" s="103" t="s">
        <v>3209</v>
      </c>
      <c r="D396" s="105" t="s">
        <v>3210</v>
      </c>
      <c r="E396" s="95">
        <v>97</v>
      </c>
      <c r="F396" s="35">
        <v>0</v>
      </c>
    </row>
    <row r="397" spans="1:6" s="4" customFormat="1" ht="12">
      <c r="A397" s="102">
        <v>140414</v>
      </c>
      <c r="B397" s="93" t="s">
        <v>250</v>
      </c>
      <c r="C397" s="103" t="s">
        <v>3211</v>
      </c>
      <c r="D397" s="105" t="s">
        <v>3212</v>
      </c>
      <c r="E397" s="95">
        <v>157</v>
      </c>
      <c r="F397" s="35">
        <v>0</v>
      </c>
    </row>
    <row r="398" spans="1:6" s="4" customFormat="1" ht="12">
      <c r="A398" s="102">
        <v>140414</v>
      </c>
      <c r="B398" s="93" t="s">
        <v>250</v>
      </c>
      <c r="C398" s="103" t="s">
        <v>3213</v>
      </c>
      <c r="D398" s="105" t="s">
        <v>3214</v>
      </c>
      <c r="E398" s="95">
        <v>279</v>
      </c>
      <c r="F398" s="35">
        <v>0</v>
      </c>
    </row>
    <row r="399" spans="1:6" s="4" customFormat="1" ht="12">
      <c r="A399" s="102">
        <v>140414</v>
      </c>
      <c r="B399" s="93" t="s">
        <v>250</v>
      </c>
      <c r="C399" s="106">
        <v>217063470</v>
      </c>
      <c r="D399" s="105" t="s">
        <v>3215</v>
      </c>
      <c r="E399" s="95">
        <v>279</v>
      </c>
      <c r="F399" s="35">
        <v>0</v>
      </c>
    </row>
    <row r="400" spans="1:6" s="4" customFormat="1" ht="12">
      <c r="A400" s="102">
        <v>140414</v>
      </c>
      <c r="B400" s="93" t="s">
        <v>250</v>
      </c>
      <c r="C400" s="103">
        <v>210123001</v>
      </c>
      <c r="D400" s="105" t="s">
        <v>3216</v>
      </c>
      <c r="E400" s="95">
        <v>9879</v>
      </c>
      <c r="F400" s="35">
        <v>0</v>
      </c>
    </row>
    <row r="401" spans="1:6" s="4" customFormat="1" ht="12">
      <c r="A401" s="102">
        <v>140414</v>
      </c>
      <c r="B401" s="93" t="s">
        <v>250</v>
      </c>
      <c r="C401" s="103">
        <v>216285162</v>
      </c>
      <c r="D401" s="105" t="s">
        <v>3217</v>
      </c>
      <c r="E401" s="95">
        <v>403</v>
      </c>
      <c r="F401" s="35">
        <v>0</v>
      </c>
    </row>
    <row r="402" spans="1:6" s="4" customFormat="1" ht="12">
      <c r="A402" s="102">
        <v>140414</v>
      </c>
      <c r="B402" s="93" t="s">
        <v>250</v>
      </c>
      <c r="C402" s="103">
        <v>217319473</v>
      </c>
      <c r="D402" s="105" t="s">
        <v>3218</v>
      </c>
      <c r="E402" s="95">
        <v>805</v>
      </c>
      <c r="F402" s="35">
        <v>0</v>
      </c>
    </row>
    <row r="403" spans="1:6" s="4" customFormat="1" ht="12">
      <c r="A403" s="102">
        <v>140414</v>
      </c>
      <c r="B403" s="93" t="s">
        <v>250</v>
      </c>
      <c r="C403" s="103" t="s">
        <v>3219</v>
      </c>
      <c r="D403" s="105" t="s">
        <v>3220</v>
      </c>
      <c r="E403" s="95">
        <v>75</v>
      </c>
      <c r="F403" s="35">
        <v>0</v>
      </c>
    </row>
    <row r="404" spans="1:6" s="4" customFormat="1" ht="12">
      <c r="A404" s="102">
        <v>140414</v>
      </c>
      <c r="B404" s="93" t="s">
        <v>250</v>
      </c>
      <c r="C404" s="103">
        <v>217352473</v>
      </c>
      <c r="D404" s="105" t="s">
        <v>3221</v>
      </c>
      <c r="E404" s="95">
        <v>1432</v>
      </c>
      <c r="F404" s="35">
        <v>0</v>
      </c>
    </row>
    <row r="405" spans="1:6" s="4" customFormat="1" ht="12">
      <c r="A405" s="102">
        <v>140414</v>
      </c>
      <c r="B405" s="93" t="s">
        <v>250</v>
      </c>
      <c r="C405" s="103">
        <v>217615476</v>
      </c>
      <c r="D405" s="105" t="s">
        <v>3222</v>
      </c>
      <c r="E405" s="95">
        <v>129</v>
      </c>
      <c r="F405" s="35">
        <v>0</v>
      </c>
    </row>
    <row r="406" spans="1:6" s="4" customFormat="1" ht="12">
      <c r="A406" s="102">
        <v>140414</v>
      </c>
      <c r="B406" s="93" t="s">
        <v>250</v>
      </c>
      <c r="C406" s="103">
        <v>216173461</v>
      </c>
      <c r="D406" s="105" t="s">
        <v>3223</v>
      </c>
      <c r="E406" s="95">
        <v>122</v>
      </c>
      <c r="F406" s="35">
        <v>0</v>
      </c>
    </row>
    <row r="407" spans="1:6" s="4" customFormat="1" ht="12">
      <c r="A407" s="102">
        <v>140414</v>
      </c>
      <c r="B407" s="93" t="s">
        <v>250</v>
      </c>
      <c r="C407" s="103" t="s">
        <v>3224</v>
      </c>
      <c r="D407" s="105" t="s">
        <v>3225</v>
      </c>
      <c r="E407" s="95">
        <v>313</v>
      </c>
      <c r="F407" s="35">
        <v>0</v>
      </c>
    </row>
    <row r="408" spans="1:6" s="4" customFormat="1" ht="12">
      <c r="A408" s="102">
        <v>140414</v>
      </c>
      <c r="B408" s="93" t="s">
        <v>250</v>
      </c>
      <c r="C408" s="103">
        <v>218054480</v>
      </c>
      <c r="D408" s="105" t="s">
        <v>3226</v>
      </c>
      <c r="E408" s="95">
        <v>98</v>
      </c>
      <c r="F408" s="35">
        <v>0</v>
      </c>
    </row>
    <row r="409" spans="1:6" s="4" customFormat="1" ht="12">
      <c r="A409" s="102">
        <v>140414</v>
      </c>
      <c r="B409" s="93" t="s">
        <v>250</v>
      </c>
      <c r="C409" s="103" t="s">
        <v>3227</v>
      </c>
      <c r="D409" s="105" t="s">
        <v>3228</v>
      </c>
      <c r="E409" s="95">
        <v>197</v>
      </c>
      <c r="F409" s="35">
        <v>0</v>
      </c>
    </row>
    <row r="410" spans="1:6" s="4" customFormat="1" ht="12">
      <c r="A410" s="102">
        <v>140414</v>
      </c>
      <c r="B410" s="93" t="s">
        <v>250</v>
      </c>
      <c r="C410" s="103" t="s">
        <v>3229</v>
      </c>
      <c r="D410" s="105" t="s">
        <v>3230</v>
      </c>
      <c r="E410" s="95">
        <v>162</v>
      </c>
      <c r="F410" s="35">
        <v>0</v>
      </c>
    </row>
    <row r="411" spans="1:6" s="4" customFormat="1" ht="12">
      <c r="A411" s="102">
        <v>140414</v>
      </c>
      <c r="B411" s="93" t="s">
        <v>250</v>
      </c>
      <c r="C411" s="103">
        <v>218341483</v>
      </c>
      <c r="D411" s="105" t="s">
        <v>3231</v>
      </c>
      <c r="E411" s="95">
        <v>153</v>
      </c>
      <c r="F411" s="35">
        <v>0</v>
      </c>
    </row>
    <row r="412" spans="1:6" s="4" customFormat="1" ht="12">
      <c r="A412" s="102">
        <v>140414</v>
      </c>
      <c r="B412" s="93" t="s">
        <v>250</v>
      </c>
      <c r="C412" s="103">
        <v>218373483</v>
      </c>
      <c r="D412" s="105" t="s">
        <v>3232</v>
      </c>
      <c r="E412" s="95">
        <v>466</v>
      </c>
      <c r="F412" s="35">
        <v>0</v>
      </c>
    </row>
    <row r="413" spans="1:6" s="4" customFormat="1" ht="12">
      <c r="A413" s="102">
        <v>140414</v>
      </c>
      <c r="B413" s="93" t="s">
        <v>250</v>
      </c>
      <c r="C413" s="103">
        <v>218617486</v>
      </c>
      <c r="D413" s="105" t="s">
        <v>3233</v>
      </c>
      <c r="E413" s="95">
        <v>365</v>
      </c>
      <c r="F413" s="35">
        <v>0</v>
      </c>
    </row>
    <row r="414" spans="1:6" s="4" customFormat="1" ht="12">
      <c r="A414" s="102">
        <v>140414</v>
      </c>
      <c r="B414" s="93" t="s">
        <v>250</v>
      </c>
      <c r="C414" s="106" t="s">
        <v>3234</v>
      </c>
      <c r="D414" s="105" t="s">
        <v>3235</v>
      </c>
      <c r="E414" s="95">
        <v>26298</v>
      </c>
      <c r="F414" s="35">
        <v>0</v>
      </c>
    </row>
    <row r="415" spans="1:6" s="4" customFormat="1" ht="12">
      <c r="A415" s="102">
        <v>140414</v>
      </c>
      <c r="B415" s="93" t="s">
        <v>250</v>
      </c>
      <c r="C415" s="106" t="s">
        <v>539</v>
      </c>
      <c r="D415" s="105" t="s">
        <v>540</v>
      </c>
      <c r="E415" s="95">
        <v>371</v>
      </c>
      <c r="F415" s="35">
        <v>0</v>
      </c>
    </row>
    <row r="416" spans="1:6" s="4" customFormat="1" ht="12">
      <c r="A416" s="102">
        <v>140414</v>
      </c>
      <c r="B416" s="93" t="s">
        <v>250</v>
      </c>
      <c r="C416" s="106" t="s">
        <v>541</v>
      </c>
      <c r="D416" s="105" t="s">
        <v>542</v>
      </c>
      <c r="E416" s="95">
        <v>457</v>
      </c>
      <c r="F416" s="35">
        <v>0</v>
      </c>
    </row>
    <row r="417" spans="1:6" s="4" customFormat="1" ht="12">
      <c r="A417" s="102">
        <v>140414</v>
      </c>
      <c r="B417" s="93" t="s">
        <v>250</v>
      </c>
      <c r="C417" s="106" t="s">
        <v>543</v>
      </c>
      <c r="D417" s="105" t="s">
        <v>544</v>
      </c>
      <c r="E417" s="95">
        <v>128</v>
      </c>
      <c r="F417" s="35">
        <v>0</v>
      </c>
    </row>
    <row r="418" spans="1:6" s="4" customFormat="1" ht="12">
      <c r="A418" s="102">
        <v>140414</v>
      </c>
      <c r="B418" s="93" t="s">
        <v>250</v>
      </c>
      <c r="C418" s="103" t="s">
        <v>545</v>
      </c>
      <c r="D418" s="105" t="s">
        <v>546</v>
      </c>
      <c r="E418" s="95">
        <v>598</v>
      </c>
      <c r="F418" s="35">
        <v>0</v>
      </c>
    </row>
    <row r="419" spans="1:6" s="4" customFormat="1" ht="12">
      <c r="A419" s="102">
        <v>140414</v>
      </c>
      <c r="B419" s="93" t="s">
        <v>250</v>
      </c>
      <c r="C419" s="106" t="s">
        <v>547</v>
      </c>
      <c r="D419" s="105" t="s">
        <v>548</v>
      </c>
      <c r="E419" s="95">
        <v>231</v>
      </c>
      <c r="F419" s="35">
        <v>0</v>
      </c>
    </row>
    <row r="420" spans="1:6" s="4" customFormat="1" ht="12">
      <c r="A420" s="102">
        <v>140414</v>
      </c>
      <c r="B420" s="93" t="s">
        <v>250</v>
      </c>
      <c r="C420" s="103">
        <v>219517495</v>
      </c>
      <c r="D420" s="105" t="s">
        <v>549</v>
      </c>
      <c r="E420" s="95">
        <v>317</v>
      </c>
      <c r="F420" s="35">
        <v>0</v>
      </c>
    </row>
    <row r="421" spans="1:6" s="4" customFormat="1" ht="12">
      <c r="A421" s="102">
        <v>140414</v>
      </c>
      <c r="B421" s="93" t="s">
        <v>250</v>
      </c>
      <c r="C421" s="103" t="s">
        <v>550</v>
      </c>
      <c r="D421" s="105" t="s">
        <v>551</v>
      </c>
      <c r="E421" s="95">
        <v>105</v>
      </c>
      <c r="F421" s="35">
        <v>0</v>
      </c>
    </row>
    <row r="422" spans="1:6" s="4" customFormat="1" ht="12">
      <c r="A422" s="102">
        <v>140414</v>
      </c>
      <c r="B422" s="93" t="s">
        <v>250</v>
      </c>
      <c r="C422" s="103">
        <v>212585225</v>
      </c>
      <c r="D422" s="105" t="s">
        <v>552</v>
      </c>
      <c r="E422" s="95">
        <v>270</v>
      </c>
      <c r="F422" s="35">
        <v>0</v>
      </c>
    </row>
    <row r="423" spans="1:6" s="4" customFormat="1" ht="12">
      <c r="A423" s="102">
        <v>140414</v>
      </c>
      <c r="B423" s="93" t="s">
        <v>250</v>
      </c>
      <c r="C423" s="103">
        <v>219776497</v>
      </c>
      <c r="D423" s="105" t="s">
        <v>553</v>
      </c>
      <c r="E423" s="95">
        <v>300</v>
      </c>
      <c r="F423" s="35">
        <v>0</v>
      </c>
    </row>
    <row r="424" spans="1:6" s="4" customFormat="1" ht="12">
      <c r="A424" s="102">
        <v>140414</v>
      </c>
      <c r="B424" s="93" t="s">
        <v>250</v>
      </c>
      <c r="C424" s="103" t="s">
        <v>554</v>
      </c>
      <c r="D424" s="105" t="s">
        <v>555</v>
      </c>
      <c r="E424" s="95">
        <v>123</v>
      </c>
      <c r="F424" s="35">
        <v>0</v>
      </c>
    </row>
    <row r="425" spans="1:6" s="4" customFormat="1" ht="12">
      <c r="A425" s="102">
        <v>140414</v>
      </c>
      <c r="B425" s="93" t="s">
        <v>250</v>
      </c>
      <c r="C425" s="103" t="s">
        <v>556</v>
      </c>
      <c r="D425" s="105" t="s">
        <v>557</v>
      </c>
      <c r="E425" s="95">
        <v>133</v>
      </c>
      <c r="F425" s="35">
        <v>0</v>
      </c>
    </row>
    <row r="426" spans="1:6" s="4" customFormat="1" ht="12">
      <c r="A426" s="102">
        <v>140414</v>
      </c>
      <c r="B426" s="93" t="s">
        <v>250</v>
      </c>
      <c r="C426" s="103" t="s">
        <v>558</v>
      </c>
      <c r="D426" s="105" t="s">
        <v>559</v>
      </c>
      <c r="E426" s="95">
        <v>131</v>
      </c>
      <c r="F426" s="35">
        <v>0</v>
      </c>
    </row>
    <row r="427" spans="1:6" s="4" customFormat="1" ht="12">
      <c r="A427" s="102">
        <v>140414</v>
      </c>
      <c r="B427" s="93" t="s">
        <v>250</v>
      </c>
      <c r="C427" s="103">
        <v>219052490</v>
      </c>
      <c r="D427" s="105" t="s">
        <v>560</v>
      </c>
      <c r="E427" s="95">
        <v>175</v>
      </c>
      <c r="F427" s="35">
        <v>0</v>
      </c>
    </row>
    <row r="428" spans="1:6" s="4" customFormat="1" ht="12">
      <c r="A428" s="102">
        <v>140414</v>
      </c>
      <c r="B428" s="93" t="s">
        <v>250</v>
      </c>
      <c r="C428" s="103" t="s">
        <v>561</v>
      </c>
      <c r="D428" s="105" t="s">
        <v>562</v>
      </c>
      <c r="E428" s="95">
        <v>178</v>
      </c>
      <c r="F428" s="35">
        <v>0</v>
      </c>
    </row>
    <row r="429" spans="1:6" s="4" customFormat="1" ht="12">
      <c r="A429" s="102">
        <v>140414</v>
      </c>
      <c r="B429" s="93" t="s">
        <v>250</v>
      </c>
      <c r="C429" s="103" t="s">
        <v>563</v>
      </c>
      <c r="D429" s="105" t="s">
        <v>564</v>
      </c>
      <c r="E429" s="95">
        <v>106</v>
      </c>
      <c r="F429" s="35">
        <v>0</v>
      </c>
    </row>
    <row r="430" spans="1:6" s="4" customFormat="1" ht="12">
      <c r="A430" s="102">
        <v>140414</v>
      </c>
      <c r="B430" s="93" t="s">
        <v>250</v>
      </c>
      <c r="C430" s="103">
        <v>212086320</v>
      </c>
      <c r="D430" s="105" t="s">
        <v>565</v>
      </c>
      <c r="E430" s="95">
        <v>1109</v>
      </c>
      <c r="F430" s="35">
        <v>0</v>
      </c>
    </row>
    <row r="431" spans="1:6" s="4" customFormat="1" ht="12">
      <c r="A431" s="102">
        <v>140414</v>
      </c>
      <c r="B431" s="93" t="s">
        <v>250</v>
      </c>
      <c r="C431" s="103">
        <v>213085230</v>
      </c>
      <c r="D431" s="105" t="s">
        <v>566</v>
      </c>
      <c r="E431" s="95">
        <v>253</v>
      </c>
      <c r="F431" s="35">
        <v>0</v>
      </c>
    </row>
    <row r="432" spans="1:6" s="4" customFormat="1" ht="12">
      <c r="A432" s="102">
        <v>140414</v>
      </c>
      <c r="B432" s="93" t="s">
        <v>250</v>
      </c>
      <c r="C432" s="103">
        <v>210473504</v>
      </c>
      <c r="D432" s="105" t="s">
        <v>567</v>
      </c>
      <c r="E432" s="95">
        <v>307</v>
      </c>
      <c r="F432" s="35">
        <v>0</v>
      </c>
    </row>
    <row r="433" spans="1:6" s="4" customFormat="1" ht="12">
      <c r="A433" s="102">
        <v>140414</v>
      </c>
      <c r="B433" s="93" t="s">
        <v>250</v>
      </c>
      <c r="C433" s="103" t="s">
        <v>568</v>
      </c>
      <c r="D433" s="105" t="s">
        <v>569</v>
      </c>
      <c r="E433" s="95">
        <v>299</v>
      </c>
      <c r="F433" s="35">
        <v>0</v>
      </c>
    </row>
    <row r="434" spans="1:6" s="4" customFormat="1" ht="12">
      <c r="A434" s="102">
        <v>140414</v>
      </c>
      <c r="B434" s="93" t="s">
        <v>250</v>
      </c>
      <c r="C434" s="103">
        <v>210870508</v>
      </c>
      <c r="D434" s="105" t="s">
        <v>570</v>
      </c>
      <c r="E434" s="95">
        <v>16</v>
      </c>
      <c r="F434" s="35">
        <v>0</v>
      </c>
    </row>
    <row r="435" spans="1:6" s="4" customFormat="1" ht="12">
      <c r="A435" s="102">
        <v>140414</v>
      </c>
      <c r="B435" s="93" t="s">
        <v>250</v>
      </c>
      <c r="C435" s="103" t="s">
        <v>571</v>
      </c>
      <c r="D435" s="105" t="s">
        <v>572</v>
      </c>
      <c r="E435" s="95">
        <v>109</v>
      </c>
      <c r="F435" s="35">
        <v>0</v>
      </c>
    </row>
    <row r="436" spans="1:6" s="4" customFormat="1" ht="12">
      <c r="A436" s="102">
        <v>140414</v>
      </c>
      <c r="B436" s="93" t="s">
        <v>250</v>
      </c>
      <c r="C436" s="106" t="s">
        <v>573</v>
      </c>
      <c r="D436" s="105" t="s">
        <v>574</v>
      </c>
      <c r="E436" s="95">
        <v>322</v>
      </c>
      <c r="F436" s="35">
        <v>0</v>
      </c>
    </row>
    <row r="437" spans="1:6" s="4" customFormat="1" ht="12">
      <c r="A437" s="102">
        <v>140414</v>
      </c>
      <c r="B437" s="93" t="s">
        <v>250</v>
      </c>
      <c r="C437" s="103">
        <v>211317513</v>
      </c>
      <c r="D437" s="105" t="s">
        <v>575</v>
      </c>
      <c r="E437" s="95">
        <v>156</v>
      </c>
      <c r="F437" s="35">
        <v>0</v>
      </c>
    </row>
    <row r="438" spans="1:6" s="4" customFormat="1" ht="12">
      <c r="A438" s="102">
        <v>140414</v>
      </c>
      <c r="B438" s="93" t="s">
        <v>250</v>
      </c>
      <c r="C438" s="103">
        <v>211415514</v>
      </c>
      <c r="D438" s="105" t="s">
        <v>576</v>
      </c>
      <c r="E438" s="95">
        <v>504</v>
      </c>
      <c r="F438" s="35">
        <v>0</v>
      </c>
    </row>
    <row r="439" spans="1:6" s="4" customFormat="1" ht="12">
      <c r="A439" s="102">
        <v>140414</v>
      </c>
      <c r="B439" s="93" t="s">
        <v>250</v>
      </c>
      <c r="C439" s="103" t="s">
        <v>577</v>
      </c>
      <c r="D439" s="105" t="s">
        <v>578</v>
      </c>
      <c r="E439" s="95">
        <v>131</v>
      </c>
      <c r="F439" s="35">
        <v>0</v>
      </c>
    </row>
    <row r="440" spans="1:6" s="4" customFormat="1" ht="12">
      <c r="A440" s="102">
        <v>140414</v>
      </c>
      <c r="B440" s="93" t="s">
        <v>250</v>
      </c>
      <c r="C440" s="103" t="s">
        <v>579</v>
      </c>
      <c r="D440" s="105" t="s">
        <v>580</v>
      </c>
      <c r="E440" s="95">
        <v>638</v>
      </c>
      <c r="F440" s="35">
        <v>0</v>
      </c>
    </row>
    <row r="441" spans="1:6" s="4" customFormat="1" ht="12">
      <c r="A441" s="102">
        <v>140414</v>
      </c>
      <c r="B441" s="93" t="s">
        <v>250</v>
      </c>
      <c r="C441" s="103" t="s">
        <v>581</v>
      </c>
      <c r="D441" s="105" t="s">
        <v>582</v>
      </c>
      <c r="E441" s="95">
        <v>106</v>
      </c>
      <c r="F441" s="35">
        <v>0</v>
      </c>
    </row>
    <row r="442" spans="1:6" s="4" customFormat="1" ht="12">
      <c r="A442" s="102">
        <v>140414</v>
      </c>
      <c r="B442" s="93" t="s">
        <v>250</v>
      </c>
      <c r="C442" s="103" t="s">
        <v>583</v>
      </c>
      <c r="D442" s="105" t="s">
        <v>584</v>
      </c>
      <c r="E442" s="95">
        <v>306</v>
      </c>
      <c r="F442" s="35">
        <v>0</v>
      </c>
    </row>
    <row r="443" spans="1:6" s="4" customFormat="1" ht="12">
      <c r="A443" s="102">
        <v>140414</v>
      </c>
      <c r="B443" s="93" t="s">
        <v>250</v>
      </c>
      <c r="C443" s="103">
        <v>212417524</v>
      </c>
      <c r="D443" s="105" t="s">
        <v>585</v>
      </c>
      <c r="E443" s="95">
        <v>568</v>
      </c>
      <c r="F443" s="35">
        <v>0</v>
      </c>
    </row>
    <row r="444" spans="1:6" s="4" customFormat="1" ht="12">
      <c r="A444" s="102">
        <v>140414</v>
      </c>
      <c r="B444" s="93" t="s">
        <v>250</v>
      </c>
      <c r="C444" s="103" t="s">
        <v>586</v>
      </c>
      <c r="D444" s="105" t="s">
        <v>587</v>
      </c>
      <c r="E444" s="95">
        <v>136</v>
      </c>
      <c r="F444" s="35">
        <v>0</v>
      </c>
    </row>
    <row r="445" spans="1:6" s="4" customFormat="1" ht="12">
      <c r="A445" s="102">
        <v>140414</v>
      </c>
      <c r="B445" s="93" t="s">
        <v>250</v>
      </c>
      <c r="C445" s="103" t="s">
        <v>588</v>
      </c>
      <c r="D445" s="105" t="s">
        <v>589</v>
      </c>
      <c r="E445" s="95">
        <v>163</v>
      </c>
      <c r="F445" s="35">
        <v>0</v>
      </c>
    </row>
    <row r="446" spans="1:6" s="4" customFormat="1" ht="12">
      <c r="A446" s="102">
        <v>140414</v>
      </c>
      <c r="B446" s="93" t="s">
        <v>250</v>
      </c>
      <c r="C446" s="103">
        <v>212076520</v>
      </c>
      <c r="D446" s="105" t="s">
        <v>590</v>
      </c>
      <c r="E446" s="95">
        <v>8323</v>
      </c>
      <c r="F446" s="35">
        <v>0</v>
      </c>
    </row>
    <row r="447" spans="1:6" s="4" customFormat="1" ht="12">
      <c r="A447" s="102">
        <v>140414</v>
      </c>
      <c r="B447" s="93" t="s">
        <v>250</v>
      </c>
      <c r="C447" s="103">
        <v>212073520</v>
      </c>
      <c r="D447" s="105" t="s">
        <v>591</v>
      </c>
      <c r="E447" s="95">
        <v>124</v>
      </c>
      <c r="F447" s="35">
        <v>0</v>
      </c>
    </row>
    <row r="448" spans="1:6" s="4" customFormat="1" ht="12">
      <c r="A448" s="102">
        <v>140414</v>
      </c>
      <c r="B448" s="93" t="s">
        <v>250</v>
      </c>
      <c r="C448" s="103">
        <v>211854518</v>
      </c>
      <c r="D448" s="105" t="s">
        <v>592</v>
      </c>
      <c r="E448" s="95">
        <v>377</v>
      </c>
      <c r="F448" s="35">
        <v>0</v>
      </c>
    </row>
    <row r="449" spans="1:6" s="4" customFormat="1" ht="12">
      <c r="A449" s="102">
        <v>140414</v>
      </c>
      <c r="B449" s="93" t="s">
        <v>250</v>
      </c>
      <c r="C449" s="103">
        <v>212054520</v>
      </c>
      <c r="D449" s="105" t="s">
        <v>593</v>
      </c>
      <c r="E449" s="95">
        <v>111</v>
      </c>
      <c r="F449" s="35">
        <v>0</v>
      </c>
    </row>
    <row r="450" spans="1:6" s="4" customFormat="1" ht="12">
      <c r="A450" s="102">
        <v>140414</v>
      </c>
      <c r="B450" s="93" t="s">
        <v>250</v>
      </c>
      <c r="C450" s="106" t="s">
        <v>594</v>
      </c>
      <c r="D450" s="105" t="s">
        <v>595</v>
      </c>
      <c r="E450" s="95">
        <v>136</v>
      </c>
      <c r="F450" s="35">
        <v>0</v>
      </c>
    </row>
    <row r="451" spans="1:6" s="4" customFormat="1" ht="12">
      <c r="A451" s="102">
        <v>140414</v>
      </c>
      <c r="B451" s="93" t="s">
        <v>250</v>
      </c>
      <c r="C451" s="103">
        <v>212215522</v>
      </c>
      <c r="D451" s="105" t="s">
        <v>596</v>
      </c>
      <c r="E451" s="95">
        <v>92</v>
      </c>
      <c r="F451" s="35">
        <v>0</v>
      </c>
    </row>
    <row r="452" spans="1:6" s="4" customFormat="1" ht="12">
      <c r="A452" s="102">
        <v>140414</v>
      </c>
      <c r="B452" s="93" t="s">
        <v>250</v>
      </c>
      <c r="C452" s="103" t="s">
        <v>597</v>
      </c>
      <c r="D452" s="105" t="s">
        <v>598</v>
      </c>
      <c r="E452" s="95">
        <v>93</v>
      </c>
      <c r="F452" s="35">
        <v>0</v>
      </c>
    </row>
    <row r="453" spans="1:6" s="4" customFormat="1" ht="12">
      <c r="A453" s="102">
        <v>140414</v>
      </c>
      <c r="B453" s="93" t="s">
        <v>250</v>
      </c>
      <c r="C453" s="106" t="s">
        <v>599</v>
      </c>
      <c r="D453" s="105" t="s">
        <v>600</v>
      </c>
      <c r="E453" s="95">
        <v>144</v>
      </c>
      <c r="F453" s="35">
        <v>0</v>
      </c>
    </row>
    <row r="454" spans="1:6" s="4" customFormat="1" ht="12">
      <c r="A454" s="102">
        <v>140414</v>
      </c>
      <c r="B454" s="93" t="s">
        <v>250</v>
      </c>
      <c r="C454" s="106" t="s">
        <v>601</v>
      </c>
      <c r="D454" s="105" t="s">
        <v>602</v>
      </c>
      <c r="E454" s="95">
        <v>214</v>
      </c>
      <c r="F454" s="35">
        <v>0</v>
      </c>
    </row>
    <row r="455" spans="1:6" s="4" customFormat="1" ht="12">
      <c r="A455" s="102">
        <v>140414</v>
      </c>
      <c r="B455" s="93" t="s">
        <v>250</v>
      </c>
      <c r="C455" s="103" t="s">
        <v>603</v>
      </c>
      <c r="D455" s="105" t="s">
        <v>604</v>
      </c>
      <c r="E455" s="95">
        <v>23593</v>
      </c>
      <c r="F455" s="35">
        <v>0</v>
      </c>
    </row>
    <row r="456" spans="1:6" s="4" customFormat="1" ht="12">
      <c r="A456" s="102">
        <v>140414</v>
      </c>
      <c r="B456" s="93" t="s">
        <v>250</v>
      </c>
      <c r="C456" s="103">
        <v>213219532</v>
      </c>
      <c r="D456" s="105" t="s">
        <v>605</v>
      </c>
      <c r="E456" s="95">
        <v>332</v>
      </c>
      <c r="F456" s="35">
        <v>0</v>
      </c>
    </row>
    <row r="457" spans="1:6" s="4" customFormat="1" ht="12">
      <c r="A457" s="102">
        <v>140414</v>
      </c>
      <c r="B457" s="93" t="s">
        <v>250</v>
      </c>
      <c r="C457" s="103" t="s">
        <v>606</v>
      </c>
      <c r="D457" s="105" t="s">
        <v>607</v>
      </c>
      <c r="E457" s="95">
        <v>220</v>
      </c>
      <c r="F457" s="35">
        <v>0</v>
      </c>
    </row>
    <row r="458" spans="1:6" s="4" customFormat="1" ht="12">
      <c r="A458" s="102">
        <v>140414</v>
      </c>
      <c r="B458" s="93" t="s">
        <v>250</v>
      </c>
      <c r="C458" s="103" t="s">
        <v>608</v>
      </c>
      <c r="D458" s="105" t="s">
        <v>609</v>
      </c>
      <c r="E458" s="95">
        <v>160</v>
      </c>
      <c r="F458" s="35">
        <v>0</v>
      </c>
    </row>
    <row r="459" spans="1:6" s="4" customFormat="1" ht="12">
      <c r="A459" s="102">
        <v>140414</v>
      </c>
      <c r="B459" s="93" t="s">
        <v>250</v>
      </c>
      <c r="C459" s="103">
        <v>215085250</v>
      </c>
      <c r="D459" s="105" t="s">
        <v>610</v>
      </c>
      <c r="E459" s="95">
        <v>300</v>
      </c>
      <c r="F459" s="35">
        <v>0</v>
      </c>
    </row>
    <row r="460" spans="1:6" s="4" customFormat="1" ht="12">
      <c r="A460" s="102">
        <v>140414</v>
      </c>
      <c r="B460" s="93" t="s">
        <v>250</v>
      </c>
      <c r="C460" s="103" t="s">
        <v>611</v>
      </c>
      <c r="D460" s="105" t="s">
        <v>612</v>
      </c>
      <c r="E460" s="95">
        <v>172</v>
      </c>
      <c r="F460" s="35">
        <v>0</v>
      </c>
    </row>
    <row r="461" spans="1:6" s="4" customFormat="1" ht="12">
      <c r="A461" s="102">
        <v>140414</v>
      </c>
      <c r="B461" s="93" t="s">
        <v>250</v>
      </c>
      <c r="C461" s="106" t="s">
        <v>613</v>
      </c>
      <c r="D461" s="105" t="s">
        <v>614</v>
      </c>
      <c r="E461" s="95">
        <v>190</v>
      </c>
      <c r="F461" s="35">
        <v>0</v>
      </c>
    </row>
    <row r="462" spans="1:6" s="4" customFormat="1" ht="12">
      <c r="A462" s="102">
        <v>140414</v>
      </c>
      <c r="B462" s="93" t="s">
        <v>250</v>
      </c>
      <c r="C462" s="103">
        <v>214117541</v>
      </c>
      <c r="D462" s="105" t="s">
        <v>615</v>
      </c>
      <c r="E462" s="95">
        <v>243</v>
      </c>
      <c r="F462" s="35">
        <v>0</v>
      </c>
    </row>
    <row r="463" spans="1:6" s="4" customFormat="1" ht="12">
      <c r="A463" s="102">
        <v>140414</v>
      </c>
      <c r="B463" s="93" t="s">
        <v>250</v>
      </c>
      <c r="C463" s="103">
        <v>215452254</v>
      </c>
      <c r="D463" s="105" t="s">
        <v>616</v>
      </c>
      <c r="E463" s="95">
        <v>428</v>
      </c>
      <c r="F463" s="35">
        <v>0</v>
      </c>
    </row>
    <row r="464" spans="1:6" s="4" customFormat="1" ht="12">
      <c r="A464" s="102">
        <v>140414</v>
      </c>
      <c r="B464" s="93" t="s">
        <v>250</v>
      </c>
      <c r="C464" s="103">
        <v>210166001</v>
      </c>
      <c r="D464" s="105" t="s">
        <v>617</v>
      </c>
      <c r="E464" s="95">
        <v>54008</v>
      </c>
      <c r="F464" s="35">
        <v>0</v>
      </c>
    </row>
    <row r="465" spans="1:6" s="4" customFormat="1" ht="12">
      <c r="A465" s="102">
        <v>140414</v>
      </c>
      <c r="B465" s="93" t="s">
        <v>250</v>
      </c>
      <c r="C465" s="103" t="s">
        <v>618</v>
      </c>
      <c r="D465" s="105" t="s">
        <v>619</v>
      </c>
      <c r="E465" s="95">
        <v>124</v>
      </c>
      <c r="F465" s="35">
        <v>0</v>
      </c>
    </row>
    <row r="466" spans="1:6" s="4" customFormat="1" ht="12">
      <c r="A466" s="102">
        <v>140414</v>
      </c>
      <c r="B466" s="93" t="s">
        <v>250</v>
      </c>
      <c r="C466" s="103">
        <v>213319533</v>
      </c>
      <c r="D466" s="105" t="s">
        <v>620</v>
      </c>
      <c r="E466" s="95">
        <v>140</v>
      </c>
      <c r="F466" s="35">
        <v>0</v>
      </c>
    </row>
    <row r="467" spans="1:6" s="4" customFormat="1" ht="12">
      <c r="A467" s="102">
        <v>140414</v>
      </c>
      <c r="B467" s="93" t="s">
        <v>250</v>
      </c>
      <c r="C467" s="103" t="s">
        <v>621</v>
      </c>
      <c r="D467" s="105" t="s">
        <v>622</v>
      </c>
      <c r="E467" s="95">
        <v>1112</v>
      </c>
      <c r="F467" s="35">
        <v>0</v>
      </c>
    </row>
    <row r="468" spans="1:6" s="4" customFormat="1" ht="12">
      <c r="A468" s="102">
        <v>140414</v>
      </c>
      <c r="B468" s="93" t="s">
        <v>250</v>
      </c>
      <c r="C468" s="103">
        <v>214773547</v>
      </c>
      <c r="D468" s="105" t="s">
        <v>623</v>
      </c>
      <c r="E468" s="95">
        <v>168</v>
      </c>
      <c r="F468" s="35">
        <v>0</v>
      </c>
    </row>
    <row r="469" spans="1:6" s="4" customFormat="1" ht="12">
      <c r="A469" s="102">
        <v>140414</v>
      </c>
      <c r="B469" s="93" t="s">
        <v>250</v>
      </c>
      <c r="C469" s="103">
        <v>214819548</v>
      </c>
      <c r="D469" s="105" t="s">
        <v>624</v>
      </c>
      <c r="E469" s="95">
        <v>272</v>
      </c>
      <c r="F469" s="35">
        <v>0</v>
      </c>
    </row>
    <row r="470" spans="1:6" s="4" customFormat="1" ht="12">
      <c r="A470" s="102">
        <v>140414</v>
      </c>
      <c r="B470" s="93" t="s">
        <v>250</v>
      </c>
      <c r="C470" s="106">
        <v>214863548</v>
      </c>
      <c r="D470" s="105" t="s">
        <v>625</v>
      </c>
      <c r="E470" s="95">
        <v>115</v>
      </c>
      <c r="F470" s="35">
        <v>0</v>
      </c>
    </row>
    <row r="471" spans="1:6" s="4" customFormat="1" ht="12">
      <c r="A471" s="102">
        <v>140414</v>
      </c>
      <c r="B471" s="93" t="s">
        <v>250</v>
      </c>
      <c r="C471" s="103" t="s">
        <v>626</v>
      </c>
      <c r="D471" s="105" t="s">
        <v>627</v>
      </c>
      <c r="E471" s="95">
        <v>137</v>
      </c>
      <c r="F471" s="35">
        <v>0</v>
      </c>
    </row>
    <row r="472" spans="1:6" s="4" customFormat="1" ht="12">
      <c r="A472" s="102">
        <v>140414</v>
      </c>
      <c r="B472" s="93" t="s">
        <v>250</v>
      </c>
      <c r="C472" s="103" t="s">
        <v>628</v>
      </c>
      <c r="D472" s="105" t="s">
        <v>629</v>
      </c>
      <c r="E472" s="95">
        <v>91</v>
      </c>
      <c r="F472" s="35">
        <v>0</v>
      </c>
    </row>
    <row r="473" spans="1:6" s="4" customFormat="1" ht="12">
      <c r="A473" s="102">
        <v>140414</v>
      </c>
      <c r="B473" s="93" t="s">
        <v>250</v>
      </c>
      <c r="C473" s="103">
        <v>214841548</v>
      </c>
      <c r="D473" s="105" t="s">
        <v>630</v>
      </c>
      <c r="E473" s="95">
        <v>128</v>
      </c>
      <c r="F473" s="35">
        <v>0</v>
      </c>
    </row>
    <row r="474" spans="1:6" s="4" customFormat="1" ht="12">
      <c r="A474" s="102">
        <v>140414</v>
      </c>
      <c r="B474" s="93" t="s">
        <v>250</v>
      </c>
      <c r="C474" s="103" t="s">
        <v>631</v>
      </c>
      <c r="D474" s="105" t="s">
        <v>632</v>
      </c>
      <c r="E474" s="95">
        <v>887</v>
      </c>
      <c r="F474" s="35">
        <v>0</v>
      </c>
    </row>
    <row r="475" spans="1:6" s="4" customFormat="1" ht="12">
      <c r="A475" s="102">
        <v>140414</v>
      </c>
      <c r="B475" s="93" t="s">
        <v>250</v>
      </c>
      <c r="C475" s="103">
        <v>215573555</v>
      </c>
      <c r="D475" s="105" t="s">
        <v>633</v>
      </c>
      <c r="E475" s="95">
        <v>320</v>
      </c>
      <c r="F475" s="35">
        <v>0</v>
      </c>
    </row>
    <row r="476" spans="1:6" s="4" customFormat="1" ht="12">
      <c r="A476" s="102">
        <v>140414</v>
      </c>
      <c r="B476" s="93" t="s">
        <v>250</v>
      </c>
      <c r="C476" s="103" t="s">
        <v>634</v>
      </c>
      <c r="D476" s="105" t="s">
        <v>635</v>
      </c>
      <c r="E476" s="95">
        <v>22</v>
      </c>
      <c r="F476" s="35">
        <v>0</v>
      </c>
    </row>
    <row r="477" spans="1:6" s="4" customFormat="1" ht="12">
      <c r="A477" s="102">
        <v>140414</v>
      </c>
      <c r="B477" s="93" t="s">
        <v>250</v>
      </c>
      <c r="C477" s="103">
        <v>215547555</v>
      </c>
      <c r="D477" s="105" t="s">
        <v>636</v>
      </c>
      <c r="E477" s="95">
        <v>26</v>
      </c>
      <c r="F477" s="35">
        <v>0</v>
      </c>
    </row>
    <row r="478" spans="1:6" s="4" customFormat="1" ht="12">
      <c r="A478" s="102">
        <v>140414</v>
      </c>
      <c r="B478" s="93" t="s">
        <v>250</v>
      </c>
      <c r="C478" s="103" t="s">
        <v>637</v>
      </c>
      <c r="D478" s="105" t="s">
        <v>638</v>
      </c>
      <c r="E478" s="95">
        <v>93</v>
      </c>
      <c r="F478" s="35">
        <v>0</v>
      </c>
    </row>
    <row r="479" spans="1:6" s="4" customFormat="1" ht="12">
      <c r="A479" s="102">
        <v>140414</v>
      </c>
      <c r="B479" s="93" t="s">
        <v>250</v>
      </c>
      <c r="C479" s="103" t="s">
        <v>639</v>
      </c>
      <c r="D479" s="105" t="s">
        <v>640</v>
      </c>
      <c r="E479" s="95">
        <v>17402</v>
      </c>
      <c r="F479" s="35">
        <v>0</v>
      </c>
    </row>
    <row r="480" spans="1:6" s="4" customFormat="1" ht="12">
      <c r="A480" s="102">
        <v>140414</v>
      </c>
      <c r="B480" s="93" t="s">
        <v>250</v>
      </c>
      <c r="C480" s="103">
        <v>216385263</v>
      </c>
      <c r="D480" s="105" t="s">
        <v>641</v>
      </c>
      <c r="E480" s="95">
        <v>163</v>
      </c>
      <c r="F480" s="35">
        <v>0</v>
      </c>
    </row>
    <row r="481" spans="1:6" s="4" customFormat="1" ht="12">
      <c r="A481" s="102">
        <v>140414</v>
      </c>
      <c r="B481" s="93" t="s">
        <v>250</v>
      </c>
      <c r="C481" s="103">
        <v>216376563</v>
      </c>
      <c r="D481" s="105" t="s">
        <v>642</v>
      </c>
      <c r="E481" s="95">
        <v>599</v>
      </c>
      <c r="F481" s="35">
        <v>0</v>
      </c>
    </row>
    <row r="482" spans="1:6" s="4" customFormat="1" ht="12">
      <c r="A482" s="102">
        <v>140414</v>
      </c>
      <c r="B482" s="93" t="s">
        <v>250</v>
      </c>
      <c r="C482" s="103">
        <v>216373563</v>
      </c>
      <c r="D482" s="105" t="s">
        <v>643</v>
      </c>
      <c r="E482" s="95">
        <v>378</v>
      </c>
      <c r="F482" s="35">
        <v>0</v>
      </c>
    </row>
    <row r="483" spans="1:6" s="4" customFormat="1" ht="12">
      <c r="A483" s="102">
        <v>140414</v>
      </c>
      <c r="B483" s="93" t="s">
        <v>250</v>
      </c>
      <c r="C483" s="103">
        <v>216552565</v>
      </c>
      <c r="D483" s="105" t="s">
        <v>644</v>
      </c>
      <c r="E483" s="95">
        <v>1435</v>
      </c>
      <c r="F483" s="35">
        <v>0</v>
      </c>
    </row>
    <row r="484" spans="1:6" s="4" customFormat="1" ht="12">
      <c r="A484" s="102">
        <v>140414</v>
      </c>
      <c r="B484" s="93" t="s">
        <v>250</v>
      </c>
      <c r="C484" s="103">
        <v>217047570</v>
      </c>
      <c r="D484" s="105" t="s">
        <v>645</v>
      </c>
      <c r="E484" s="95">
        <v>25</v>
      </c>
      <c r="F484" s="35">
        <v>0</v>
      </c>
    </row>
    <row r="485" spans="1:6" s="4" customFormat="1" ht="12">
      <c r="A485" s="102">
        <v>140414</v>
      </c>
      <c r="B485" s="93" t="s">
        <v>250</v>
      </c>
      <c r="C485" s="103" t="s">
        <v>646</v>
      </c>
      <c r="D485" s="105" t="s">
        <v>647</v>
      </c>
      <c r="E485" s="95">
        <v>245</v>
      </c>
      <c r="F485" s="35">
        <v>0</v>
      </c>
    </row>
    <row r="486" spans="1:6" s="4" customFormat="1" ht="12">
      <c r="A486" s="102">
        <v>140414</v>
      </c>
      <c r="B486" s="93" t="s">
        <v>250</v>
      </c>
      <c r="C486" s="103">
        <v>216886568</v>
      </c>
      <c r="D486" s="105" t="s">
        <v>648</v>
      </c>
      <c r="E486" s="95">
        <v>579</v>
      </c>
      <c r="F486" s="35">
        <v>0</v>
      </c>
    </row>
    <row r="487" spans="1:6" s="4" customFormat="1" ht="12">
      <c r="A487" s="102">
        <v>140414</v>
      </c>
      <c r="B487" s="93" t="s">
        <v>250</v>
      </c>
      <c r="C487" s="103" t="s">
        <v>649</v>
      </c>
      <c r="D487" s="105" t="s">
        <v>650</v>
      </c>
      <c r="E487" s="95">
        <v>923</v>
      </c>
      <c r="F487" s="35">
        <v>0</v>
      </c>
    </row>
    <row r="488" spans="1:6" s="4" customFormat="1" ht="12">
      <c r="A488" s="102">
        <v>140414</v>
      </c>
      <c r="B488" s="93" t="s">
        <v>250</v>
      </c>
      <c r="C488" s="103" t="s">
        <v>651</v>
      </c>
      <c r="D488" s="105" t="s">
        <v>652</v>
      </c>
      <c r="E488" s="95">
        <v>1180</v>
      </c>
      <c r="F488" s="35">
        <v>0</v>
      </c>
    </row>
    <row r="489" spans="1:6" s="4" customFormat="1" ht="12">
      <c r="A489" s="102">
        <v>140414</v>
      </c>
      <c r="B489" s="93" t="s">
        <v>250</v>
      </c>
      <c r="C489" s="103">
        <v>216986569</v>
      </c>
      <c r="D489" s="105" t="s">
        <v>653</v>
      </c>
      <c r="E489" s="95">
        <v>297</v>
      </c>
      <c r="F489" s="35">
        <v>0</v>
      </c>
    </row>
    <row r="490" spans="1:6" s="4" customFormat="1" ht="12">
      <c r="A490" s="102">
        <v>140414</v>
      </c>
      <c r="B490" s="93" t="s">
        <v>250</v>
      </c>
      <c r="C490" s="103">
        <v>210199001</v>
      </c>
      <c r="D490" s="105" t="s">
        <v>654</v>
      </c>
      <c r="E490" s="95">
        <v>562</v>
      </c>
      <c r="F490" s="35">
        <v>0</v>
      </c>
    </row>
    <row r="491" spans="1:6" s="4" customFormat="1" ht="12">
      <c r="A491" s="102">
        <v>140414</v>
      </c>
      <c r="B491" s="93" t="s">
        <v>250</v>
      </c>
      <c r="C491" s="103">
        <v>215050450</v>
      </c>
      <c r="D491" s="105" t="s">
        <v>655</v>
      </c>
      <c r="E491" s="95">
        <v>142</v>
      </c>
      <c r="F491" s="35">
        <v>0</v>
      </c>
    </row>
    <row r="492" spans="1:6" s="4" customFormat="1" ht="12">
      <c r="A492" s="102">
        <v>140414</v>
      </c>
      <c r="B492" s="93" t="s">
        <v>250</v>
      </c>
      <c r="C492" s="103">
        <v>216850568</v>
      </c>
      <c r="D492" s="105" t="s">
        <v>656</v>
      </c>
      <c r="E492" s="95">
        <v>319</v>
      </c>
      <c r="F492" s="35">
        <v>0</v>
      </c>
    </row>
    <row r="493" spans="1:6" s="4" customFormat="1" ht="12">
      <c r="A493" s="102">
        <v>140414</v>
      </c>
      <c r="B493" s="93" t="s">
        <v>250</v>
      </c>
      <c r="C493" s="103">
        <v>217186571</v>
      </c>
      <c r="D493" s="105" t="s">
        <v>657</v>
      </c>
      <c r="E493" s="95">
        <v>287</v>
      </c>
      <c r="F493" s="35">
        <v>0</v>
      </c>
    </row>
    <row r="494" spans="1:6" s="4" customFormat="1" ht="12">
      <c r="A494" s="102">
        <v>140414</v>
      </c>
      <c r="B494" s="93" t="s">
        <v>250</v>
      </c>
      <c r="C494" s="106">
        <v>217386573</v>
      </c>
      <c r="D494" s="105" t="s">
        <v>658</v>
      </c>
      <c r="E494" s="95">
        <v>325</v>
      </c>
      <c r="F494" s="35">
        <v>0</v>
      </c>
    </row>
    <row r="495" spans="1:6" s="4" customFormat="1" ht="12">
      <c r="A495" s="102">
        <v>140414</v>
      </c>
      <c r="B495" s="93" t="s">
        <v>250</v>
      </c>
      <c r="C495" s="103">
        <v>217750577</v>
      </c>
      <c r="D495" s="105" t="s">
        <v>659</v>
      </c>
      <c r="E495" s="95">
        <v>233</v>
      </c>
      <c r="F495" s="35">
        <v>0</v>
      </c>
    </row>
    <row r="496" spans="1:6" s="4" customFormat="1" ht="12">
      <c r="A496" s="102">
        <v>140414</v>
      </c>
      <c r="B496" s="93" t="s">
        <v>250</v>
      </c>
      <c r="C496" s="103">
        <v>217350573</v>
      </c>
      <c r="D496" s="105" t="s">
        <v>660</v>
      </c>
      <c r="E496" s="95">
        <v>772</v>
      </c>
      <c r="F496" s="35">
        <v>0</v>
      </c>
    </row>
    <row r="497" spans="1:6" s="4" customFormat="1" ht="12">
      <c r="A497" s="102">
        <v>140414</v>
      </c>
      <c r="B497" s="93" t="s">
        <v>250</v>
      </c>
      <c r="C497" s="103" t="s">
        <v>661</v>
      </c>
      <c r="D497" s="105" t="s">
        <v>662</v>
      </c>
      <c r="E497" s="95">
        <v>147</v>
      </c>
      <c r="F497" s="35">
        <v>0</v>
      </c>
    </row>
    <row r="498" spans="1:6" s="4" customFormat="1" ht="12">
      <c r="A498" s="102">
        <v>140414</v>
      </c>
      <c r="B498" s="93" t="s">
        <v>250</v>
      </c>
      <c r="C498" s="103">
        <v>219050590</v>
      </c>
      <c r="D498" s="105" t="s">
        <v>663</v>
      </c>
      <c r="E498" s="95">
        <v>774</v>
      </c>
      <c r="F498" s="35">
        <v>0</v>
      </c>
    </row>
    <row r="499" spans="1:6" s="4" customFormat="1" ht="12">
      <c r="A499" s="102">
        <v>140414</v>
      </c>
      <c r="B499" s="93" t="s">
        <v>250</v>
      </c>
      <c r="C499" s="106" t="s">
        <v>664</v>
      </c>
      <c r="D499" s="105" t="s">
        <v>665</v>
      </c>
      <c r="E499" s="95">
        <v>652</v>
      </c>
      <c r="F499" s="35">
        <v>0</v>
      </c>
    </row>
    <row r="500" spans="1:6" s="4" customFormat="1" ht="12">
      <c r="A500" s="102">
        <v>140414</v>
      </c>
      <c r="B500" s="93" t="s">
        <v>250</v>
      </c>
      <c r="C500" s="103">
        <v>215354553</v>
      </c>
      <c r="D500" s="105" t="s">
        <v>666</v>
      </c>
      <c r="E500" s="95">
        <v>186</v>
      </c>
      <c r="F500" s="35">
        <v>0</v>
      </c>
    </row>
    <row r="501" spans="1:6" s="4" customFormat="1" ht="12">
      <c r="A501" s="102">
        <v>140414</v>
      </c>
      <c r="B501" s="93" t="s">
        <v>250</v>
      </c>
      <c r="C501" s="103">
        <v>217319573</v>
      </c>
      <c r="D501" s="105" t="s">
        <v>667</v>
      </c>
      <c r="E501" s="95">
        <v>1076</v>
      </c>
      <c r="F501" s="35">
        <v>0</v>
      </c>
    </row>
    <row r="502" spans="1:6" s="4" customFormat="1" ht="12">
      <c r="A502" s="102">
        <v>140414</v>
      </c>
      <c r="B502" s="93" t="s">
        <v>250</v>
      </c>
      <c r="C502" s="103" t="s">
        <v>668</v>
      </c>
      <c r="D502" s="105" t="s">
        <v>669</v>
      </c>
      <c r="E502" s="95">
        <v>475</v>
      </c>
      <c r="F502" s="35">
        <v>0</v>
      </c>
    </row>
    <row r="503" spans="1:6" s="4" customFormat="1" ht="12">
      <c r="A503" s="102">
        <v>140414</v>
      </c>
      <c r="B503" s="93" t="s">
        <v>250</v>
      </c>
      <c r="C503" s="106" t="s">
        <v>670</v>
      </c>
      <c r="D503" s="105" t="s">
        <v>671</v>
      </c>
      <c r="E503" s="95">
        <v>138</v>
      </c>
      <c r="F503" s="35">
        <v>0</v>
      </c>
    </row>
    <row r="504" spans="1:6" s="4" customFormat="1" ht="12">
      <c r="A504" s="102">
        <v>140414</v>
      </c>
      <c r="B504" s="93" t="s">
        <v>250</v>
      </c>
      <c r="C504" s="103">
        <v>218552585</v>
      </c>
      <c r="D504" s="105" t="s">
        <v>672</v>
      </c>
      <c r="E504" s="95">
        <v>1077</v>
      </c>
      <c r="F504" s="35">
        <v>0</v>
      </c>
    </row>
    <row r="505" spans="1:6" s="4" customFormat="1" ht="12">
      <c r="A505" s="102">
        <v>140414</v>
      </c>
      <c r="B505" s="93" t="s">
        <v>250</v>
      </c>
      <c r="C505" s="103">
        <v>218519585</v>
      </c>
      <c r="D505" s="105" t="s">
        <v>673</v>
      </c>
      <c r="E505" s="95">
        <v>217</v>
      </c>
      <c r="F505" s="35">
        <v>0</v>
      </c>
    </row>
    <row r="506" spans="1:6" s="4" customFormat="1" ht="12">
      <c r="A506" s="102">
        <v>140414</v>
      </c>
      <c r="B506" s="93" t="s">
        <v>250</v>
      </c>
      <c r="C506" s="103">
        <v>218573585</v>
      </c>
      <c r="D506" s="105" t="s">
        <v>674</v>
      </c>
      <c r="E506" s="95">
        <v>37</v>
      </c>
      <c r="F506" s="35">
        <v>0</v>
      </c>
    </row>
    <row r="507" spans="1:6" s="4" customFormat="1" ht="12">
      <c r="A507" s="102">
        <v>140414</v>
      </c>
      <c r="B507" s="93" t="s">
        <v>250</v>
      </c>
      <c r="C507" s="106" t="s">
        <v>675</v>
      </c>
      <c r="D507" s="105" t="s">
        <v>676</v>
      </c>
      <c r="E507" s="95">
        <v>132</v>
      </c>
      <c r="F507" s="35">
        <v>0</v>
      </c>
    </row>
    <row r="508" spans="1:6" s="4" customFormat="1" ht="12">
      <c r="A508" s="102">
        <v>140414</v>
      </c>
      <c r="B508" s="93" t="s">
        <v>250</v>
      </c>
      <c r="C508" s="106" t="s">
        <v>677</v>
      </c>
      <c r="D508" s="105" t="s">
        <v>678</v>
      </c>
      <c r="E508" s="95">
        <v>147</v>
      </c>
      <c r="F508" s="35">
        <v>0</v>
      </c>
    </row>
    <row r="509" spans="1:6" s="4" customFormat="1" ht="12">
      <c r="A509" s="102">
        <v>140414</v>
      </c>
      <c r="B509" s="93" t="s">
        <v>250</v>
      </c>
      <c r="C509" s="106">
        <v>210127001</v>
      </c>
      <c r="D509" s="105" t="s">
        <v>679</v>
      </c>
      <c r="E509" s="95">
        <v>2115</v>
      </c>
      <c r="F509" s="35">
        <v>0</v>
      </c>
    </row>
    <row r="510" spans="1:6" s="4" customFormat="1" ht="12">
      <c r="A510" s="102">
        <v>140414</v>
      </c>
      <c r="B510" s="93" t="s">
        <v>250</v>
      </c>
      <c r="C510" s="106">
        <v>219463594</v>
      </c>
      <c r="D510" s="105" t="s">
        <v>680</v>
      </c>
      <c r="E510" s="95">
        <v>583</v>
      </c>
      <c r="F510" s="35">
        <v>0</v>
      </c>
    </row>
    <row r="511" spans="1:6" s="4" customFormat="1" ht="12">
      <c r="A511" s="102">
        <v>140414</v>
      </c>
      <c r="B511" s="93" t="s">
        <v>250</v>
      </c>
      <c r="C511" s="106">
        <v>219466594</v>
      </c>
      <c r="D511" s="105" t="s">
        <v>681</v>
      </c>
      <c r="E511" s="95">
        <v>211</v>
      </c>
      <c r="F511" s="35">
        <v>0</v>
      </c>
    </row>
    <row r="512" spans="1:6" s="4" customFormat="1" ht="12">
      <c r="A512" s="102">
        <v>140414</v>
      </c>
      <c r="B512" s="93" t="s">
        <v>250</v>
      </c>
      <c r="C512" s="103">
        <v>218015580</v>
      </c>
      <c r="D512" s="105" t="s">
        <v>682</v>
      </c>
      <c r="E512" s="95">
        <v>108</v>
      </c>
      <c r="F512" s="35">
        <v>0</v>
      </c>
    </row>
    <row r="513" spans="1:6" s="4" customFormat="1" ht="12">
      <c r="A513" s="102">
        <v>140414</v>
      </c>
      <c r="B513" s="93" t="s">
        <v>250</v>
      </c>
      <c r="C513" s="106">
        <v>219625596</v>
      </c>
      <c r="D513" s="105" t="s">
        <v>683</v>
      </c>
      <c r="E513" s="95">
        <v>136</v>
      </c>
      <c r="F513" s="35">
        <v>0</v>
      </c>
    </row>
    <row r="514" spans="1:6" s="4" customFormat="1" ht="12">
      <c r="A514" s="102">
        <v>140414</v>
      </c>
      <c r="B514" s="93" t="s">
        <v>250</v>
      </c>
      <c r="C514" s="103">
        <v>219954599</v>
      </c>
      <c r="D514" s="105" t="s">
        <v>684</v>
      </c>
      <c r="E514" s="95">
        <v>99</v>
      </c>
      <c r="F514" s="35">
        <v>0</v>
      </c>
    </row>
    <row r="515" spans="1:6" s="4" customFormat="1" ht="12">
      <c r="A515" s="102">
        <v>140414</v>
      </c>
      <c r="B515" s="93" t="s">
        <v>250</v>
      </c>
      <c r="C515" s="103" t="s">
        <v>685</v>
      </c>
      <c r="D515" s="105" t="s">
        <v>686</v>
      </c>
      <c r="E515" s="95">
        <v>197</v>
      </c>
      <c r="F515" s="35">
        <v>0</v>
      </c>
    </row>
    <row r="516" spans="1:6" s="4" customFormat="1" ht="12">
      <c r="A516" s="102">
        <v>140414</v>
      </c>
      <c r="B516" s="93" t="s">
        <v>250</v>
      </c>
      <c r="C516" s="103">
        <v>210015600</v>
      </c>
      <c r="D516" s="105" t="s">
        <v>687</v>
      </c>
      <c r="E516" s="95">
        <v>132</v>
      </c>
      <c r="F516" s="35">
        <v>0</v>
      </c>
    </row>
    <row r="517" spans="1:6" s="4" customFormat="1" ht="12">
      <c r="A517" s="102">
        <v>140414</v>
      </c>
      <c r="B517" s="93" t="s">
        <v>250</v>
      </c>
      <c r="C517" s="103">
        <v>217985279</v>
      </c>
      <c r="D517" s="105" t="s">
        <v>688</v>
      </c>
      <c r="E517" s="95">
        <v>120</v>
      </c>
      <c r="F517" s="35">
        <v>0</v>
      </c>
    </row>
    <row r="518" spans="1:6" s="4" customFormat="1" ht="12">
      <c r="A518" s="102">
        <v>140414</v>
      </c>
      <c r="B518" s="93" t="s">
        <v>250</v>
      </c>
      <c r="C518" s="103" t="s">
        <v>689</v>
      </c>
      <c r="D518" s="105" t="s">
        <v>690</v>
      </c>
      <c r="E518" s="95">
        <v>737</v>
      </c>
      <c r="F518" s="35">
        <v>0</v>
      </c>
    </row>
    <row r="519" spans="1:6" s="4" customFormat="1" ht="12">
      <c r="A519" s="102">
        <v>140414</v>
      </c>
      <c r="B519" s="93" t="s">
        <v>250</v>
      </c>
      <c r="C519" s="103">
        <v>210547605</v>
      </c>
      <c r="D519" s="105" t="s">
        <v>691</v>
      </c>
      <c r="E519" s="95">
        <v>97</v>
      </c>
      <c r="F519" s="35">
        <v>0</v>
      </c>
    </row>
    <row r="520" spans="1:6" s="4" customFormat="1" ht="12">
      <c r="A520" s="102">
        <v>140414</v>
      </c>
      <c r="B520" s="93" t="s">
        <v>250</v>
      </c>
      <c r="C520" s="103" t="s">
        <v>692</v>
      </c>
      <c r="D520" s="105" t="s">
        <v>693</v>
      </c>
      <c r="E520" s="95">
        <v>18</v>
      </c>
      <c r="F520" s="35">
        <v>0</v>
      </c>
    </row>
    <row r="521" spans="1:6" s="4" customFormat="1" ht="12">
      <c r="A521" s="102">
        <v>140414</v>
      </c>
      <c r="B521" s="93" t="s">
        <v>250</v>
      </c>
      <c r="C521" s="103">
        <v>210676606</v>
      </c>
      <c r="D521" s="105" t="s">
        <v>694</v>
      </c>
      <c r="E521" s="95">
        <v>702</v>
      </c>
      <c r="F521" s="35">
        <v>0</v>
      </c>
    </row>
    <row r="522" spans="1:6" s="4" customFormat="1" ht="12">
      <c r="A522" s="102">
        <v>140414</v>
      </c>
      <c r="B522" s="93" t="s">
        <v>250</v>
      </c>
      <c r="C522" s="103" t="s">
        <v>695</v>
      </c>
      <c r="D522" s="105" t="s">
        <v>696</v>
      </c>
      <c r="E522" s="95">
        <v>564</v>
      </c>
      <c r="F522" s="35">
        <v>0</v>
      </c>
    </row>
    <row r="523" spans="1:6" s="4" customFormat="1" ht="12">
      <c r="A523" s="102">
        <v>140414</v>
      </c>
      <c r="B523" s="93" t="s">
        <v>250</v>
      </c>
      <c r="C523" s="103">
        <v>211252612</v>
      </c>
      <c r="D523" s="105" t="s">
        <v>697</v>
      </c>
      <c r="E523" s="95">
        <v>234</v>
      </c>
      <c r="F523" s="35">
        <v>0</v>
      </c>
    </row>
    <row r="524" spans="1:6" s="4" customFormat="1" ht="12">
      <c r="A524" s="102">
        <v>140414</v>
      </c>
      <c r="B524" s="93" t="s">
        <v>250</v>
      </c>
      <c r="C524" s="103">
        <v>210013600</v>
      </c>
      <c r="D524" s="105" t="s">
        <v>698</v>
      </c>
      <c r="E524" s="95">
        <v>217</v>
      </c>
      <c r="F524" s="35">
        <v>0</v>
      </c>
    </row>
    <row r="525" spans="1:6" s="4" customFormat="1" ht="12">
      <c r="A525" s="102">
        <v>140414</v>
      </c>
      <c r="B525" s="93" t="s">
        <v>250</v>
      </c>
      <c r="C525" s="103">
        <v>211673616</v>
      </c>
      <c r="D525" s="105" t="s">
        <v>699</v>
      </c>
      <c r="E525" s="95">
        <v>200</v>
      </c>
      <c r="F525" s="35">
        <v>0</v>
      </c>
    </row>
    <row r="526" spans="1:6" s="4" customFormat="1" ht="12">
      <c r="A526" s="102">
        <v>140414</v>
      </c>
      <c r="B526" s="93" t="s">
        <v>250</v>
      </c>
      <c r="C526" s="106" t="s">
        <v>700</v>
      </c>
      <c r="D526" s="105" t="s">
        <v>701</v>
      </c>
      <c r="E526" s="95">
        <v>53384</v>
      </c>
      <c r="F526" s="35">
        <v>0</v>
      </c>
    </row>
    <row r="527" spans="1:6" s="4" customFormat="1" ht="12">
      <c r="A527" s="102">
        <v>140414</v>
      </c>
      <c r="B527" s="93" t="s">
        <v>250</v>
      </c>
      <c r="C527" s="103" t="s">
        <v>702</v>
      </c>
      <c r="D527" s="105" t="s">
        <v>703</v>
      </c>
      <c r="E527" s="95">
        <v>2361</v>
      </c>
      <c r="F527" s="35">
        <v>0</v>
      </c>
    </row>
    <row r="528" spans="1:6" s="4" customFormat="1" ht="12">
      <c r="A528" s="102">
        <v>140414</v>
      </c>
      <c r="B528" s="93" t="s">
        <v>250</v>
      </c>
      <c r="C528" s="103" t="s">
        <v>704</v>
      </c>
      <c r="D528" s="105" t="s">
        <v>705</v>
      </c>
      <c r="E528" s="95">
        <v>335</v>
      </c>
      <c r="F528" s="35">
        <v>0</v>
      </c>
    </row>
    <row r="529" spans="1:6" s="4" customFormat="1" ht="12">
      <c r="A529" s="102">
        <v>140414</v>
      </c>
      <c r="B529" s="93" t="s">
        <v>250</v>
      </c>
      <c r="C529" s="103">
        <v>211527615</v>
      </c>
      <c r="D529" s="105" t="s">
        <v>706</v>
      </c>
      <c r="E529" s="95">
        <v>662</v>
      </c>
      <c r="F529" s="35">
        <v>0</v>
      </c>
    </row>
    <row r="530" spans="1:6" s="4" customFormat="1" ht="12">
      <c r="A530" s="102">
        <v>140414</v>
      </c>
      <c r="B530" s="93" t="s">
        <v>250</v>
      </c>
      <c r="C530" s="103">
        <v>211617616</v>
      </c>
      <c r="D530" s="105" t="s">
        <v>707</v>
      </c>
      <c r="E530" s="95">
        <v>202</v>
      </c>
      <c r="F530" s="35">
        <v>0</v>
      </c>
    </row>
    <row r="531" spans="1:6" s="4" customFormat="1" ht="12">
      <c r="A531" s="102">
        <v>140414</v>
      </c>
      <c r="B531" s="93" t="s">
        <v>250</v>
      </c>
      <c r="C531" s="103">
        <v>212276622</v>
      </c>
      <c r="D531" s="105" t="s">
        <v>708</v>
      </c>
      <c r="E531" s="95">
        <v>633</v>
      </c>
      <c r="F531" s="35">
        <v>0</v>
      </c>
    </row>
    <row r="532" spans="1:6" s="4" customFormat="1" ht="12">
      <c r="A532" s="102">
        <v>140414</v>
      </c>
      <c r="B532" s="93" t="s">
        <v>250</v>
      </c>
      <c r="C532" s="103">
        <v>212273622</v>
      </c>
      <c r="D532" s="105" t="s">
        <v>709</v>
      </c>
      <c r="E532" s="95">
        <v>97</v>
      </c>
      <c r="F532" s="35">
        <v>0</v>
      </c>
    </row>
    <row r="533" spans="1:6" s="4" customFormat="1" ht="12">
      <c r="A533" s="102">
        <v>140414</v>
      </c>
      <c r="B533" s="93" t="s">
        <v>250</v>
      </c>
      <c r="C533" s="103" t="s">
        <v>710</v>
      </c>
      <c r="D533" s="105" t="s">
        <v>711</v>
      </c>
      <c r="E533" s="95">
        <v>106</v>
      </c>
      <c r="F533" s="35">
        <v>0</v>
      </c>
    </row>
    <row r="534" spans="1:6" s="4" customFormat="1" ht="12">
      <c r="A534" s="102">
        <v>140414</v>
      </c>
      <c r="B534" s="93" t="s">
        <v>250</v>
      </c>
      <c r="C534" s="103">
        <v>212219622</v>
      </c>
      <c r="D534" s="105" t="s">
        <v>712</v>
      </c>
      <c r="E534" s="95">
        <v>183</v>
      </c>
      <c r="F534" s="35">
        <v>0</v>
      </c>
    </row>
    <row r="535" spans="1:6" s="4" customFormat="1" ht="12">
      <c r="A535" s="102">
        <v>140414</v>
      </c>
      <c r="B535" s="93" t="s">
        <v>250</v>
      </c>
      <c r="C535" s="103">
        <v>212473624</v>
      </c>
      <c r="D535" s="105" t="s">
        <v>713</v>
      </c>
      <c r="E535" s="95">
        <v>180</v>
      </c>
      <c r="F535" s="35">
        <v>0</v>
      </c>
    </row>
    <row r="536" spans="1:6" s="4" customFormat="1" ht="12">
      <c r="A536" s="102">
        <v>140414</v>
      </c>
      <c r="B536" s="93" t="s">
        <v>250</v>
      </c>
      <c r="C536" s="103" t="s">
        <v>714</v>
      </c>
      <c r="D536" s="105" t="s">
        <v>715</v>
      </c>
      <c r="E536" s="95">
        <v>217</v>
      </c>
      <c r="F536" s="35">
        <v>0</v>
      </c>
    </row>
    <row r="537" spans="1:6" s="4" customFormat="1" ht="12">
      <c r="A537" s="102">
        <v>140414</v>
      </c>
      <c r="B537" s="93" t="s">
        <v>250</v>
      </c>
      <c r="C537" s="103" t="s">
        <v>716</v>
      </c>
      <c r="D537" s="105" t="s">
        <v>717</v>
      </c>
      <c r="E537" s="95">
        <v>308</v>
      </c>
      <c r="F537" s="35">
        <v>0</v>
      </c>
    </row>
    <row r="538" spans="1:6" s="4" customFormat="1" ht="12">
      <c r="A538" s="102">
        <v>140414</v>
      </c>
      <c r="B538" s="93" t="s">
        <v>250</v>
      </c>
      <c r="C538" s="103">
        <v>210085300</v>
      </c>
      <c r="D538" s="105" t="s">
        <v>718</v>
      </c>
      <c r="E538" s="95">
        <v>207</v>
      </c>
      <c r="F538" s="35">
        <v>0</v>
      </c>
    </row>
    <row r="539" spans="1:6" s="4" customFormat="1" ht="12">
      <c r="A539" s="102">
        <v>140414</v>
      </c>
      <c r="B539" s="93" t="s">
        <v>250</v>
      </c>
      <c r="C539" s="103" t="s">
        <v>719</v>
      </c>
      <c r="D539" s="105" t="s">
        <v>720</v>
      </c>
      <c r="E539" s="95">
        <v>267</v>
      </c>
      <c r="F539" s="35">
        <v>0</v>
      </c>
    </row>
    <row r="540" spans="1:6" s="4" customFormat="1" ht="12">
      <c r="A540" s="102">
        <v>140414</v>
      </c>
      <c r="B540" s="93" t="s">
        <v>250</v>
      </c>
      <c r="C540" s="103">
        <v>216047660</v>
      </c>
      <c r="D540" s="105" t="s">
        <v>721</v>
      </c>
      <c r="E540" s="95">
        <v>173</v>
      </c>
      <c r="F540" s="35">
        <v>0</v>
      </c>
    </row>
    <row r="541" spans="1:6" s="4" customFormat="1" ht="12">
      <c r="A541" s="102">
        <v>140414</v>
      </c>
      <c r="B541" s="93" t="s">
        <v>250</v>
      </c>
      <c r="C541" s="103" t="s">
        <v>722</v>
      </c>
      <c r="D541" s="105" t="s">
        <v>723</v>
      </c>
      <c r="E541" s="95">
        <v>2715</v>
      </c>
      <c r="F541" s="35">
        <v>0</v>
      </c>
    </row>
    <row r="542" spans="1:6" s="4" customFormat="1" ht="12">
      <c r="A542" s="102">
        <v>140414</v>
      </c>
      <c r="B542" s="93" t="s">
        <v>250</v>
      </c>
      <c r="C542" s="103" t="s">
        <v>724</v>
      </c>
      <c r="D542" s="105" t="s">
        <v>725</v>
      </c>
      <c r="E542" s="95">
        <v>139</v>
      </c>
      <c r="F542" s="35">
        <v>0</v>
      </c>
    </row>
    <row r="543" spans="1:6" s="4" customFormat="1" ht="12">
      <c r="A543" s="102">
        <v>140414</v>
      </c>
      <c r="B543" s="93" t="s">
        <v>250</v>
      </c>
      <c r="C543" s="103">
        <v>211585315</v>
      </c>
      <c r="D543" s="105" t="s">
        <v>726</v>
      </c>
      <c r="E543" s="95">
        <v>107</v>
      </c>
      <c r="F543" s="35">
        <v>0</v>
      </c>
    </row>
    <row r="544" spans="1:6" s="4" customFormat="1" ht="12">
      <c r="A544" s="102">
        <v>140414</v>
      </c>
      <c r="B544" s="93" t="s">
        <v>250</v>
      </c>
      <c r="C544" s="103" t="s">
        <v>727</v>
      </c>
      <c r="D544" s="105" t="s">
        <v>728</v>
      </c>
      <c r="E544" s="95">
        <v>112</v>
      </c>
      <c r="F544" s="35">
        <v>0</v>
      </c>
    </row>
    <row r="545" spans="1:6" s="4" customFormat="1" ht="12">
      <c r="A545" s="102">
        <v>140414</v>
      </c>
      <c r="B545" s="93" t="s">
        <v>250</v>
      </c>
      <c r="C545" s="103" t="s">
        <v>729</v>
      </c>
      <c r="D545" s="105" t="s">
        <v>730</v>
      </c>
      <c r="E545" s="95">
        <v>892</v>
      </c>
      <c r="F545" s="35">
        <v>0</v>
      </c>
    </row>
    <row r="546" spans="1:6" s="4" customFormat="1" ht="12">
      <c r="A546" s="102">
        <v>140414</v>
      </c>
      <c r="B546" s="93" t="s">
        <v>250</v>
      </c>
      <c r="C546" s="103" t="s">
        <v>731</v>
      </c>
      <c r="D546" s="105" t="s">
        <v>732</v>
      </c>
      <c r="E546" s="95">
        <v>117</v>
      </c>
      <c r="F546" s="35">
        <v>0</v>
      </c>
    </row>
    <row r="547" spans="1:6" s="4" customFormat="1" ht="12">
      <c r="A547" s="102">
        <v>140414</v>
      </c>
      <c r="B547" s="93" t="s">
        <v>250</v>
      </c>
      <c r="C547" s="103">
        <v>217547675</v>
      </c>
      <c r="D547" s="105" t="s">
        <v>733</v>
      </c>
      <c r="E547" s="95">
        <v>140</v>
      </c>
      <c r="F547" s="35">
        <v>0</v>
      </c>
    </row>
    <row r="548" spans="1:6" s="4" customFormat="1" ht="12">
      <c r="A548" s="102">
        <v>140414</v>
      </c>
      <c r="B548" s="93" t="s">
        <v>250</v>
      </c>
      <c r="C548" s="103">
        <v>216054660</v>
      </c>
      <c r="D548" s="105" t="s">
        <v>734</v>
      </c>
      <c r="E548" s="95">
        <v>225</v>
      </c>
      <c r="F548" s="35">
        <v>0</v>
      </c>
    </row>
    <row r="549" spans="1:6" s="4" customFormat="1" ht="12">
      <c r="A549" s="102">
        <v>140414</v>
      </c>
      <c r="B549" s="93" t="s">
        <v>250</v>
      </c>
      <c r="C549" s="103">
        <v>217173671</v>
      </c>
      <c r="D549" s="105" t="s">
        <v>735</v>
      </c>
      <c r="E549" s="95">
        <v>314</v>
      </c>
      <c r="F549" s="35">
        <v>0</v>
      </c>
    </row>
    <row r="550" spans="1:6" s="4" customFormat="1" ht="12">
      <c r="A550" s="102">
        <v>140414</v>
      </c>
      <c r="B550" s="93" t="s">
        <v>250</v>
      </c>
      <c r="C550" s="106">
        <v>219063690</v>
      </c>
      <c r="D550" s="105" t="s">
        <v>736</v>
      </c>
      <c r="E550" s="95">
        <v>237</v>
      </c>
      <c r="F550" s="35">
        <v>0</v>
      </c>
    </row>
    <row r="551" spans="1:6" s="4" customFormat="1" ht="12">
      <c r="A551" s="102">
        <v>140414</v>
      </c>
      <c r="B551" s="93" t="s">
        <v>250</v>
      </c>
      <c r="C551" s="103" t="s">
        <v>737</v>
      </c>
      <c r="D551" s="105" t="s">
        <v>738</v>
      </c>
      <c r="E551" s="95">
        <v>326</v>
      </c>
      <c r="F551" s="35">
        <v>0</v>
      </c>
    </row>
    <row r="552" spans="1:6" s="4" customFormat="1" ht="12">
      <c r="A552" s="102">
        <v>140414</v>
      </c>
      <c r="B552" s="93" t="s">
        <v>250</v>
      </c>
      <c r="C552" s="103" t="s">
        <v>739</v>
      </c>
      <c r="D552" s="105" t="s">
        <v>740</v>
      </c>
      <c r="E552" s="95">
        <v>315</v>
      </c>
      <c r="F552" s="35">
        <v>0</v>
      </c>
    </row>
    <row r="553" spans="1:6" s="4" customFormat="1" ht="12">
      <c r="A553" s="102">
        <v>140414</v>
      </c>
      <c r="B553" s="93" t="s">
        <v>250</v>
      </c>
      <c r="C553" s="103">
        <v>216217662</v>
      </c>
      <c r="D553" s="105" t="s">
        <v>741</v>
      </c>
      <c r="E553" s="95">
        <v>342</v>
      </c>
      <c r="F553" s="35">
        <v>0</v>
      </c>
    </row>
    <row r="554" spans="1:6" s="4" customFormat="1" ht="12">
      <c r="A554" s="102">
        <v>140414</v>
      </c>
      <c r="B554" s="93" t="s">
        <v>250</v>
      </c>
      <c r="C554" s="103">
        <v>217852678</v>
      </c>
      <c r="D554" s="105" t="s">
        <v>742</v>
      </c>
      <c r="E554" s="95">
        <v>325</v>
      </c>
      <c r="F554" s="35">
        <v>0</v>
      </c>
    </row>
    <row r="555" spans="1:6" s="4" customFormat="1" ht="12">
      <c r="A555" s="102">
        <v>140414</v>
      </c>
      <c r="B555" s="93" t="s">
        <v>250</v>
      </c>
      <c r="C555" s="103">
        <v>217070670</v>
      </c>
      <c r="D555" s="105" t="s">
        <v>743</v>
      </c>
      <c r="E555" s="95">
        <v>171</v>
      </c>
      <c r="F555" s="35">
        <v>0</v>
      </c>
    </row>
    <row r="556" spans="1:6" s="4" customFormat="1" ht="12">
      <c r="A556" s="102">
        <v>140414</v>
      </c>
      <c r="B556" s="93" t="s">
        <v>250</v>
      </c>
      <c r="C556" s="103" t="s">
        <v>744</v>
      </c>
      <c r="D556" s="105" t="s">
        <v>745</v>
      </c>
      <c r="E556" s="95">
        <v>146</v>
      </c>
      <c r="F556" s="35">
        <v>0</v>
      </c>
    </row>
    <row r="557" spans="1:6" s="4" customFormat="1" ht="12">
      <c r="A557" s="102">
        <v>140414</v>
      </c>
      <c r="B557" s="93" t="s">
        <v>250</v>
      </c>
      <c r="C557" s="103">
        <v>118888000</v>
      </c>
      <c r="D557" s="105" t="s">
        <v>746</v>
      </c>
      <c r="E557" s="95">
        <v>538</v>
      </c>
      <c r="F557" s="35">
        <v>0</v>
      </c>
    </row>
    <row r="558" spans="1:6" s="4" customFormat="1" ht="12">
      <c r="A558" s="102">
        <v>140414</v>
      </c>
      <c r="B558" s="93" t="s">
        <v>250</v>
      </c>
      <c r="C558" s="106" t="s">
        <v>747</v>
      </c>
      <c r="D558" s="105" t="s">
        <v>748</v>
      </c>
      <c r="E558" s="95">
        <v>207</v>
      </c>
      <c r="F558" s="35">
        <v>0</v>
      </c>
    </row>
    <row r="559" spans="1:6" s="4" customFormat="1" ht="12">
      <c r="A559" s="102">
        <v>140414</v>
      </c>
      <c r="B559" s="93" t="s">
        <v>250</v>
      </c>
      <c r="C559" s="103">
        <v>217573675</v>
      </c>
      <c r="D559" s="105" t="s">
        <v>749</v>
      </c>
      <c r="E559" s="95">
        <v>143</v>
      </c>
      <c r="F559" s="35">
        <v>0</v>
      </c>
    </row>
    <row r="560" spans="1:6" s="4" customFormat="1" ht="12">
      <c r="A560" s="102">
        <v>140414</v>
      </c>
      <c r="B560" s="93" t="s">
        <v>250</v>
      </c>
      <c r="C560" s="103">
        <v>214525645</v>
      </c>
      <c r="D560" s="105" t="s">
        <v>750</v>
      </c>
      <c r="E560" s="95">
        <v>292</v>
      </c>
      <c r="F560" s="35">
        <v>0</v>
      </c>
    </row>
    <row r="561" spans="1:6" s="4" customFormat="1" ht="12">
      <c r="A561" s="102">
        <v>140414</v>
      </c>
      <c r="B561" s="93" t="s">
        <v>250</v>
      </c>
      <c r="C561" s="103" t="s">
        <v>751</v>
      </c>
      <c r="D561" s="105" t="s">
        <v>752</v>
      </c>
      <c r="E561" s="95">
        <v>106</v>
      </c>
      <c r="F561" s="35">
        <v>0</v>
      </c>
    </row>
    <row r="562" spans="1:6" s="4" customFormat="1" ht="12">
      <c r="A562" s="102">
        <v>140414</v>
      </c>
      <c r="B562" s="93" t="s">
        <v>250</v>
      </c>
      <c r="C562" s="103">
        <v>217870678</v>
      </c>
      <c r="D562" s="105" t="s">
        <v>753</v>
      </c>
      <c r="E562" s="95">
        <v>189</v>
      </c>
      <c r="F562" s="35">
        <v>0</v>
      </c>
    </row>
    <row r="563" spans="1:6" s="4" customFormat="1" ht="12">
      <c r="A563" s="102">
        <v>140414</v>
      </c>
      <c r="B563" s="93" t="s">
        <v>250</v>
      </c>
      <c r="C563" s="103">
        <v>218552685</v>
      </c>
      <c r="D563" s="105" t="s">
        <v>754</v>
      </c>
      <c r="E563" s="95">
        <v>228</v>
      </c>
      <c r="F563" s="35">
        <v>0</v>
      </c>
    </row>
    <row r="564" spans="1:6" s="4" customFormat="1" ht="12">
      <c r="A564" s="102">
        <v>140414</v>
      </c>
      <c r="B564" s="93" t="s">
        <v>250</v>
      </c>
      <c r="C564" s="103">
        <v>217054670</v>
      </c>
      <c r="D564" s="105" t="s">
        <v>755</v>
      </c>
      <c r="E564" s="95">
        <v>104</v>
      </c>
      <c r="F564" s="35">
        <v>0</v>
      </c>
    </row>
    <row r="565" spans="1:6" s="4" customFormat="1" ht="12">
      <c r="A565" s="102">
        <v>140414</v>
      </c>
      <c r="B565" s="93" t="s">
        <v>250</v>
      </c>
      <c r="C565" s="103" t="s">
        <v>756</v>
      </c>
      <c r="D565" s="105" t="s">
        <v>757</v>
      </c>
      <c r="E565" s="95">
        <v>823</v>
      </c>
      <c r="F565" s="35">
        <v>0</v>
      </c>
    </row>
    <row r="566" spans="1:6" s="4" customFormat="1" ht="12">
      <c r="A566" s="102">
        <v>140414</v>
      </c>
      <c r="B566" s="93" t="s">
        <v>250</v>
      </c>
      <c r="C566" s="103" t="s">
        <v>758</v>
      </c>
      <c r="D566" s="105" t="s">
        <v>759</v>
      </c>
      <c r="E566" s="95">
        <v>385</v>
      </c>
      <c r="F566" s="35">
        <v>0</v>
      </c>
    </row>
    <row r="567" spans="1:6" s="4" customFormat="1" ht="12">
      <c r="A567" s="102">
        <v>140414</v>
      </c>
      <c r="B567" s="93" t="s">
        <v>250</v>
      </c>
      <c r="C567" s="103">
        <v>217354673</v>
      </c>
      <c r="D567" s="105" t="s">
        <v>760</v>
      </c>
      <c r="E567" s="95">
        <v>170</v>
      </c>
      <c r="F567" s="35">
        <v>0</v>
      </c>
    </row>
    <row r="568" spans="1:6" s="4" customFormat="1" ht="12">
      <c r="A568" s="102">
        <v>140414</v>
      </c>
      <c r="B568" s="93" t="s">
        <v>250</v>
      </c>
      <c r="C568" s="103">
        <v>212013620</v>
      </c>
      <c r="D568" s="105" t="s">
        <v>761</v>
      </c>
      <c r="E568" s="95">
        <v>13</v>
      </c>
      <c r="F568" s="35">
        <v>0</v>
      </c>
    </row>
    <row r="569" spans="1:6" s="4" customFormat="1" ht="12">
      <c r="A569" s="102">
        <v>140414</v>
      </c>
      <c r="B569" s="93" t="s">
        <v>250</v>
      </c>
      <c r="C569" s="103" t="s">
        <v>762</v>
      </c>
      <c r="D569" s="105" t="s">
        <v>763</v>
      </c>
      <c r="E569" s="95">
        <v>125</v>
      </c>
      <c r="F569" s="35">
        <v>0</v>
      </c>
    </row>
    <row r="570" spans="1:6" s="4" customFormat="1" ht="12">
      <c r="A570" s="102">
        <v>140414</v>
      </c>
      <c r="B570" s="93" t="s">
        <v>250</v>
      </c>
      <c r="C570" s="103" t="s">
        <v>764</v>
      </c>
      <c r="D570" s="105" t="s">
        <v>765</v>
      </c>
      <c r="E570" s="95">
        <v>315</v>
      </c>
      <c r="F570" s="35">
        <v>0</v>
      </c>
    </row>
    <row r="571" spans="1:6" s="4" customFormat="1" ht="12">
      <c r="A571" s="102">
        <v>140414</v>
      </c>
      <c r="B571" s="93" t="s">
        <v>250</v>
      </c>
      <c r="C571" s="106">
        <v>215586755</v>
      </c>
      <c r="D571" s="105" t="s">
        <v>766</v>
      </c>
      <c r="E571" s="95">
        <v>541</v>
      </c>
      <c r="F571" s="35">
        <v>0</v>
      </c>
    </row>
    <row r="572" spans="1:6" s="4" customFormat="1" ht="12">
      <c r="A572" s="102">
        <v>140414</v>
      </c>
      <c r="B572" s="93" t="s">
        <v>250</v>
      </c>
      <c r="C572" s="103" t="s">
        <v>767</v>
      </c>
      <c r="D572" s="105" t="s">
        <v>768</v>
      </c>
      <c r="E572" s="95">
        <v>729</v>
      </c>
      <c r="F572" s="35">
        <v>0</v>
      </c>
    </row>
    <row r="573" spans="1:6" s="4" customFormat="1" ht="12">
      <c r="A573" s="102">
        <v>140414</v>
      </c>
      <c r="B573" s="93" t="s">
        <v>250</v>
      </c>
      <c r="C573" s="103" t="s">
        <v>769</v>
      </c>
      <c r="D573" s="105" t="s">
        <v>770</v>
      </c>
      <c r="E573" s="95">
        <v>25</v>
      </c>
      <c r="F573" s="35">
        <v>0</v>
      </c>
    </row>
    <row r="574" spans="1:6" s="4" customFormat="1" ht="12">
      <c r="A574" s="102">
        <v>140414</v>
      </c>
      <c r="B574" s="93" t="s">
        <v>250</v>
      </c>
      <c r="C574" s="103" t="s">
        <v>771</v>
      </c>
      <c r="D574" s="105" t="s">
        <v>772</v>
      </c>
      <c r="E574" s="95">
        <v>74</v>
      </c>
      <c r="F574" s="35">
        <v>0</v>
      </c>
    </row>
    <row r="575" spans="1:6" s="4" customFormat="1" ht="12">
      <c r="A575" s="102">
        <v>140414</v>
      </c>
      <c r="B575" s="93" t="s">
        <v>250</v>
      </c>
      <c r="C575" s="94">
        <v>216517665</v>
      </c>
      <c r="D575" s="105" t="s">
        <v>773</v>
      </c>
      <c r="E575" s="95">
        <v>116</v>
      </c>
      <c r="F575" s="35">
        <v>0</v>
      </c>
    </row>
    <row r="576" spans="1:6" s="4" customFormat="1" ht="12">
      <c r="A576" s="102">
        <v>140414</v>
      </c>
      <c r="B576" s="93" t="s">
        <v>250</v>
      </c>
      <c r="C576" s="103" t="s">
        <v>774</v>
      </c>
      <c r="D576" s="105" t="s">
        <v>775</v>
      </c>
      <c r="E576" s="95">
        <v>116</v>
      </c>
      <c r="F576" s="35">
        <v>0</v>
      </c>
    </row>
    <row r="577" spans="1:6" s="4" customFormat="1" ht="12">
      <c r="A577" s="102">
        <v>140414</v>
      </c>
      <c r="B577" s="93" t="s">
        <v>250</v>
      </c>
      <c r="C577" s="103" t="s">
        <v>776</v>
      </c>
      <c r="D577" s="105" t="s">
        <v>777</v>
      </c>
      <c r="E577" s="95">
        <v>207</v>
      </c>
      <c r="F577" s="35">
        <v>0</v>
      </c>
    </row>
    <row r="578" spans="1:6" s="4" customFormat="1" ht="12">
      <c r="A578" s="102">
        <v>140414</v>
      </c>
      <c r="B578" s="93" t="s">
        <v>250</v>
      </c>
      <c r="C578" s="103">
        <v>211018610</v>
      </c>
      <c r="D578" s="105" t="s">
        <v>778</v>
      </c>
      <c r="E578" s="95">
        <v>150</v>
      </c>
      <c r="F578" s="35">
        <v>0</v>
      </c>
    </row>
    <row r="579" spans="1:6" s="4" customFormat="1" ht="12">
      <c r="A579" s="102">
        <v>140414</v>
      </c>
      <c r="B579" s="93" t="s">
        <v>250</v>
      </c>
      <c r="C579" s="106">
        <v>210195001</v>
      </c>
      <c r="D579" s="105" t="s">
        <v>779</v>
      </c>
      <c r="E579" s="95">
        <v>1913</v>
      </c>
      <c r="F579" s="35">
        <v>0</v>
      </c>
    </row>
    <row r="580" spans="1:6" s="4" customFormat="1" ht="12">
      <c r="A580" s="102">
        <v>140414</v>
      </c>
      <c r="B580" s="93" t="s">
        <v>250</v>
      </c>
      <c r="C580" s="106">
        <v>216027660</v>
      </c>
      <c r="D580" s="105" t="s">
        <v>780</v>
      </c>
      <c r="E580" s="95">
        <v>128</v>
      </c>
      <c r="F580" s="35">
        <v>0</v>
      </c>
    </row>
    <row r="581" spans="1:6" s="4" customFormat="1" ht="12">
      <c r="A581" s="102">
        <v>140414</v>
      </c>
      <c r="B581" s="93" t="s">
        <v>250</v>
      </c>
      <c r="C581" s="94">
        <v>218350683</v>
      </c>
      <c r="D581" s="105" t="s">
        <v>781</v>
      </c>
      <c r="E581" s="95">
        <v>182</v>
      </c>
      <c r="F581" s="35">
        <v>0</v>
      </c>
    </row>
    <row r="582" spans="1:6" s="4" customFormat="1" ht="12">
      <c r="A582" s="102">
        <v>140414</v>
      </c>
      <c r="B582" s="93" t="s">
        <v>250</v>
      </c>
      <c r="C582" s="106" t="s">
        <v>782</v>
      </c>
      <c r="D582" s="105" t="s">
        <v>783</v>
      </c>
      <c r="E582" s="95">
        <v>245</v>
      </c>
      <c r="F582" s="35">
        <v>0</v>
      </c>
    </row>
    <row r="583" spans="1:6" s="4" customFormat="1" ht="12">
      <c r="A583" s="102">
        <v>140414</v>
      </c>
      <c r="B583" s="93" t="s">
        <v>250</v>
      </c>
      <c r="C583" s="103">
        <v>218650686</v>
      </c>
      <c r="D583" s="105" t="s">
        <v>784</v>
      </c>
      <c r="E583" s="95">
        <v>63</v>
      </c>
      <c r="F583" s="35">
        <v>0</v>
      </c>
    </row>
    <row r="584" spans="1:6" s="4" customFormat="1" ht="12">
      <c r="A584" s="102">
        <v>140414</v>
      </c>
      <c r="B584" s="93" t="s">
        <v>250</v>
      </c>
      <c r="C584" s="103">
        <v>217873678</v>
      </c>
      <c r="D584" s="105" t="s">
        <v>785</v>
      </c>
      <c r="E584" s="95">
        <v>452</v>
      </c>
      <c r="F584" s="35">
        <v>0</v>
      </c>
    </row>
    <row r="585" spans="1:6" s="4" customFormat="1" ht="12">
      <c r="A585" s="102">
        <v>140414</v>
      </c>
      <c r="B585" s="93" t="s">
        <v>250</v>
      </c>
      <c r="C585" s="103" t="s">
        <v>786</v>
      </c>
      <c r="D585" s="105" t="s">
        <v>787</v>
      </c>
      <c r="E585" s="95">
        <v>165</v>
      </c>
      <c r="F585" s="35">
        <v>0</v>
      </c>
    </row>
    <row r="586" spans="1:6" s="4" customFormat="1" ht="12">
      <c r="A586" s="102">
        <v>140414</v>
      </c>
      <c r="B586" s="93" t="s">
        <v>250</v>
      </c>
      <c r="C586" s="103">
        <v>218950689</v>
      </c>
      <c r="D586" s="105" t="s">
        <v>788</v>
      </c>
      <c r="E586" s="95">
        <v>153</v>
      </c>
      <c r="F586" s="35">
        <v>0</v>
      </c>
    </row>
    <row r="587" spans="1:6" s="4" customFormat="1" ht="12">
      <c r="A587" s="102">
        <v>140414</v>
      </c>
      <c r="B587" s="93" t="s">
        <v>250</v>
      </c>
      <c r="C587" s="103" t="s">
        <v>789</v>
      </c>
      <c r="D587" s="105" t="s">
        <v>790</v>
      </c>
      <c r="E587" s="95">
        <v>164</v>
      </c>
      <c r="F587" s="35">
        <v>0</v>
      </c>
    </row>
    <row r="588" spans="1:6" s="4" customFormat="1" ht="12">
      <c r="A588" s="102">
        <v>140414</v>
      </c>
      <c r="B588" s="93" t="s">
        <v>250</v>
      </c>
      <c r="C588" s="103" t="s">
        <v>791</v>
      </c>
      <c r="D588" s="105" t="s">
        <v>792</v>
      </c>
      <c r="E588" s="95">
        <v>433</v>
      </c>
      <c r="F588" s="35">
        <v>0</v>
      </c>
    </row>
    <row r="589" spans="1:6" s="4" customFormat="1" ht="12">
      <c r="A589" s="102">
        <v>140414</v>
      </c>
      <c r="B589" s="93" t="s">
        <v>250</v>
      </c>
      <c r="C589" s="103">
        <v>217615676</v>
      </c>
      <c r="D589" s="105" t="s">
        <v>793</v>
      </c>
      <c r="E589" s="95">
        <v>199</v>
      </c>
      <c r="F589" s="35">
        <v>0</v>
      </c>
    </row>
    <row r="590" spans="1:6" s="4" customFormat="1" ht="12">
      <c r="A590" s="102">
        <v>140414</v>
      </c>
      <c r="B590" s="93" t="s">
        <v>250</v>
      </c>
      <c r="C590" s="103">
        <v>218115681</v>
      </c>
      <c r="D590" s="105" t="s">
        <v>794</v>
      </c>
      <c r="E590" s="95">
        <v>267</v>
      </c>
      <c r="F590" s="35">
        <v>0</v>
      </c>
    </row>
    <row r="591" spans="1:6" s="4" customFormat="1" ht="12">
      <c r="A591" s="102">
        <v>140414</v>
      </c>
      <c r="B591" s="93" t="s">
        <v>250</v>
      </c>
      <c r="C591" s="103">
        <v>211770717</v>
      </c>
      <c r="D591" s="105" t="s">
        <v>795</v>
      </c>
      <c r="E591" s="95">
        <v>620</v>
      </c>
      <c r="F591" s="35">
        <v>0</v>
      </c>
    </row>
    <row r="592" spans="1:6" s="4" customFormat="1" ht="12">
      <c r="A592" s="102">
        <v>140414</v>
      </c>
      <c r="B592" s="93" t="s">
        <v>250</v>
      </c>
      <c r="C592" s="103" t="s">
        <v>796</v>
      </c>
      <c r="D592" s="105" t="s">
        <v>797</v>
      </c>
      <c r="E592" s="95">
        <v>85</v>
      </c>
      <c r="F592" s="35">
        <v>0</v>
      </c>
    </row>
    <row r="593" spans="1:6" s="4" customFormat="1" ht="12">
      <c r="A593" s="102">
        <v>140414</v>
      </c>
      <c r="B593" s="93" t="s">
        <v>250</v>
      </c>
      <c r="C593" s="103" t="s">
        <v>798</v>
      </c>
      <c r="D593" s="105" t="s">
        <v>799</v>
      </c>
      <c r="E593" s="95">
        <v>285</v>
      </c>
      <c r="F593" s="35">
        <v>0</v>
      </c>
    </row>
    <row r="594" spans="1:6" s="4" customFormat="1" ht="12">
      <c r="A594" s="102">
        <v>140414</v>
      </c>
      <c r="B594" s="93" t="s">
        <v>250</v>
      </c>
      <c r="C594" s="103" t="s">
        <v>800</v>
      </c>
      <c r="D594" s="105" t="s">
        <v>801</v>
      </c>
      <c r="E594" s="95">
        <v>13</v>
      </c>
      <c r="F594" s="35">
        <v>0</v>
      </c>
    </row>
    <row r="595" spans="1:6" s="4" customFormat="1" ht="12">
      <c r="A595" s="102">
        <v>140414</v>
      </c>
      <c r="B595" s="93" t="s">
        <v>250</v>
      </c>
      <c r="C595" s="103" t="s">
        <v>802</v>
      </c>
      <c r="D595" s="105" t="s">
        <v>803</v>
      </c>
      <c r="E595" s="95">
        <v>454</v>
      </c>
      <c r="F595" s="35">
        <v>0</v>
      </c>
    </row>
    <row r="596" spans="1:6" s="4" customFormat="1" ht="12">
      <c r="A596" s="102">
        <v>140414</v>
      </c>
      <c r="B596" s="93" t="s">
        <v>250</v>
      </c>
      <c r="C596" s="103" t="s">
        <v>804</v>
      </c>
      <c r="D596" s="105" t="s">
        <v>805</v>
      </c>
      <c r="E596" s="95">
        <v>337</v>
      </c>
      <c r="F596" s="35">
        <v>0</v>
      </c>
    </row>
    <row r="597" spans="1:6" s="4" customFormat="1" ht="12">
      <c r="A597" s="102">
        <v>140414</v>
      </c>
      <c r="B597" s="93" t="s">
        <v>250</v>
      </c>
      <c r="C597" s="103" t="s">
        <v>806</v>
      </c>
      <c r="D597" s="105" t="s">
        <v>807</v>
      </c>
      <c r="E597" s="95">
        <v>456</v>
      </c>
      <c r="F597" s="35">
        <v>0</v>
      </c>
    </row>
    <row r="598" spans="1:6" s="4" customFormat="1" ht="12">
      <c r="A598" s="102">
        <v>140414</v>
      </c>
      <c r="B598" s="93" t="s">
        <v>250</v>
      </c>
      <c r="C598" s="103">
        <v>218968689</v>
      </c>
      <c r="D598" s="105" t="s">
        <v>808</v>
      </c>
      <c r="E598" s="95">
        <v>588</v>
      </c>
      <c r="F598" s="35">
        <v>0</v>
      </c>
    </row>
    <row r="599" spans="1:6" s="4" customFormat="1" ht="12">
      <c r="A599" s="102">
        <v>140414</v>
      </c>
      <c r="B599" s="93" t="s">
        <v>250</v>
      </c>
      <c r="C599" s="103">
        <v>215318753</v>
      </c>
      <c r="D599" s="105" t="s">
        <v>809</v>
      </c>
      <c r="E599" s="95">
        <v>8</v>
      </c>
      <c r="F599" s="35">
        <v>0</v>
      </c>
    </row>
    <row r="600" spans="1:6" s="4" customFormat="1" ht="12">
      <c r="A600" s="102">
        <v>140414</v>
      </c>
      <c r="B600" s="93" t="s">
        <v>250</v>
      </c>
      <c r="C600" s="103">
        <v>219652696</v>
      </c>
      <c r="D600" s="105" t="s">
        <v>810</v>
      </c>
      <c r="E600" s="95">
        <v>642</v>
      </c>
      <c r="F600" s="35">
        <v>0</v>
      </c>
    </row>
    <row r="601" spans="1:6" s="4" customFormat="1" ht="12">
      <c r="A601" s="102">
        <v>140414</v>
      </c>
      <c r="B601" s="93" t="s">
        <v>250</v>
      </c>
      <c r="C601" s="103">
        <v>212047720</v>
      </c>
      <c r="D601" s="105" t="s">
        <v>811</v>
      </c>
      <c r="E601" s="95">
        <v>7</v>
      </c>
      <c r="F601" s="35">
        <v>0</v>
      </c>
    </row>
    <row r="602" spans="1:6" s="4" customFormat="1" ht="12">
      <c r="A602" s="102">
        <v>140414</v>
      </c>
      <c r="B602" s="93" t="s">
        <v>250</v>
      </c>
      <c r="C602" s="103" t="s">
        <v>812</v>
      </c>
      <c r="D602" s="105" t="s">
        <v>813</v>
      </c>
      <c r="E602" s="95">
        <v>98</v>
      </c>
      <c r="F602" s="35">
        <v>0</v>
      </c>
    </row>
    <row r="603" spans="1:6" s="4" customFormat="1" ht="12">
      <c r="A603" s="102">
        <v>140414</v>
      </c>
      <c r="B603" s="93" t="s">
        <v>250</v>
      </c>
      <c r="C603" s="103">
        <v>218673686</v>
      </c>
      <c r="D603" s="105" t="s">
        <v>814</v>
      </c>
      <c r="E603" s="95">
        <v>173</v>
      </c>
      <c r="F603" s="35">
        <v>0</v>
      </c>
    </row>
    <row r="604" spans="1:6" s="4" customFormat="1" ht="12">
      <c r="A604" s="102">
        <v>140414</v>
      </c>
      <c r="B604" s="93" t="s">
        <v>250</v>
      </c>
      <c r="C604" s="103">
        <v>219015690</v>
      </c>
      <c r="D604" s="105" t="s">
        <v>815</v>
      </c>
      <c r="E604" s="95">
        <v>320</v>
      </c>
      <c r="F604" s="35">
        <v>0</v>
      </c>
    </row>
    <row r="605" spans="1:6" s="4" customFormat="1" ht="12">
      <c r="A605" s="102">
        <v>140414</v>
      </c>
      <c r="B605" s="93" t="s">
        <v>250</v>
      </c>
      <c r="C605" s="103" t="s">
        <v>816</v>
      </c>
      <c r="D605" s="105" t="s">
        <v>817</v>
      </c>
      <c r="E605" s="95">
        <v>10566</v>
      </c>
      <c r="F605" s="35">
        <v>0</v>
      </c>
    </row>
    <row r="606" spans="1:6" s="4" customFormat="1" ht="12">
      <c r="A606" s="102">
        <v>140414</v>
      </c>
      <c r="B606" s="93" t="s">
        <v>250</v>
      </c>
      <c r="C606" s="103">
        <v>210147001</v>
      </c>
      <c r="D606" s="105" t="s">
        <v>818</v>
      </c>
      <c r="E606" s="95">
        <v>148</v>
      </c>
      <c r="F606" s="35">
        <v>0</v>
      </c>
    </row>
    <row r="607" spans="1:6" s="4" customFormat="1" ht="12">
      <c r="A607" s="102">
        <v>140414</v>
      </c>
      <c r="B607" s="93" t="s">
        <v>250</v>
      </c>
      <c r="C607" s="103">
        <v>218266682</v>
      </c>
      <c r="D607" s="105" t="s">
        <v>819</v>
      </c>
      <c r="E607" s="95">
        <v>976</v>
      </c>
      <c r="F607" s="35">
        <v>0</v>
      </c>
    </row>
    <row r="608" spans="1:6" s="4" customFormat="1" ht="12">
      <c r="A608" s="102">
        <v>140414</v>
      </c>
      <c r="B608" s="93" t="s">
        <v>250</v>
      </c>
      <c r="C608" s="103" t="s">
        <v>820</v>
      </c>
      <c r="D608" s="105" t="s">
        <v>821</v>
      </c>
      <c r="E608" s="95">
        <v>808</v>
      </c>
      <c r="F608" s="35">
        <v>0</v>
      </c>
    </row>
    <row r="609" spans="1:6" s="4" customFormat="1" ht="12">
      <c r="A609" s="102">
        <v>140414</v>
      </c>
      <c r="B609" s="93" t="s">
        <v>250</v>
      </c>
      <c r="C609" s="103">
        <v>219315693</v>
      </c>
      <c r="D609" s="105" t="s">
        <v>822</v>
      </c>
      <c r="E609" s="95">
        <v>346</v>
      </c>
      <c r="F609" s="35">
        <v>0</v>
      </c>
    </row>
    <row r="610" spans="1:6" s="4" customFormat="1" ht="12">
      <c r="A610" s="102">
        <v>140414</v>
      </c>
      <c r="B610" s="93" t="s">
        <v>250</v>
      </c>
      <c r="C610" s="103">
        <v>218813688</v>
      </c>
      <c r="D610" s="105" t="s">
        <v>823</v>
      </c>
      <c r="E610" s="95">
        <v>331</v>
      </c>
      <c r="F610" s="35">
        <v>0</v>
      </c>
    </row>
    <row r="611" spans="1:6" s="4" customFormat="1" ht="12">
      <c r="A611" s="102">
        <v>140414</v>
      </c>
      <c r="B611" s="93" t="s">
        <v>250</v>
      </c>
      <c r="C611" s="103">
        <v>212499624</v>
      </c>
      <c r="D611" s="105" t="s">
        <v>824</v>
      </c>
      <c r="E611" s="95">
        <v>105</v>
      </c>
      <c r="F611" s="35">
        <v>0</v>
      </c>
    </row>
    <row r="612" spans="1:6" s="4" customFormat="1" ht="12">
      <c r="A612" s="102">
        <v>140414</v>
      </c>
      <c r="B612" s="93" t="s">
        <v>250</v>
      </c>
      <c r="C612" s="103">
        <v>219615696</v>
      </c>
      <c r="D612" s="105" t="s">
        <v>825</v>
      </c>
      <c r="E612" s="95">
        <v>305</v>
      </c>
      <c r="F612" s="35">
        <v>0</v>
      </c>
    </row>
    <row r="613" spans="1:6" s="4" customFormat="1" ht="12">
      <c r="A613" s="102">
        <v>140414</v>
      </c>
      <c r="B613" s="93" t="s">
        <v>250</v>
      </c>
      <c r="C613" s="94">
        <v>214205042</v>
      </c>
      <c r="D613" s="105" t="s">
        <v>826</v>
      </c>
      <c r="E613" s="95">
        <v>444</v>
      </c>
      <c r="F613" s="35">
        <v>0</v>
      </c>
    </row>
    <row r="614" spans="1:6" s="4" customFormat="1" ht="12">
      <c r="A614" s="102">
        <v>140414</v>
      </c>
      <c r="B614" s="93" t="s">
        <v>250</v>
      </c>
      <c r="C614" s="103">
        <v>218615686</v>
      </c>
      <c r="D614" s="105" t="s">
        <v>827</v>
      </c>
      <c r="E614" s="95">
        <v>444</v>
      </c>
      <c r="F614" s="35">
        <v>0</v>
      </c>
    </row>
    <row r="615" spans="1:6" s="4" customFormat="1" ht="12">
      <c r="A615" s="102">
        <v>140414</v>
      </c>
      <c r="B615" s="93" t="s">
        <v>250</v>
      </c>
      <c r="C615" s="103">
        <v>219819698</v>
      </c>
      <c r="D615" s="105" t="s">
        <v>828</v>
      </c>
      <c r="E615" s="95">
        <v>1191</v>
      </c>
      <c r="F615" s="35">
        <v>0</v>
      </c>
    </row>
    <row r="616" spans="1:6" s="4" customFormat="1" ht="12">
      <c r="A616" s="102">
        <v>140414</v>
      </c>
      <c r="B616" s="93" t="s">
        <v>250</v>
      </c>
      <c r="C616" s="106">
        <v>216086760</v>
      </c>
      <c r="D616" s="105" t="s">
        <v>3236</v>
      </c>
      <c r="E616" s="95">
        <v>212</v>
      </c>
      <c r="F616" s="35">
        <v>0</v>
      </c>
    </row>
    <row r="617" spans="1:6" s="4" customFormat="1" ht="12">
      <c r="A617" s="102">
        <v>140414</v>
      </c>
      <c r="B617" s="93" t="s">
        <v>250</v>
      </c>
      <c r="C617" s="103" t="s">
        <v>3237</v>
      </c>
      <c r="D617" s="105" t="s">
        <v>3238</v>
      </c>
      <c r="E617" s="95">
        <v>230</v>
      </c>
      <c r="F617" s="35">
        <v>0</v>
      </c>
    </row>
    <row r="618" spans="1:6" s="4" customFormat="1" ht="12">
      <c r="A618" s="102">
        <v>140414</v>
      </c>
      <c r="B618" s="93" t="s">
        <v>250</v>
      </c>
      <c r="C618" s="103">
        <v>218508685</v>
      </c>
      <c r="D618" s="105" t="s">
        <v>3239</v>
      </c>
      <c r="E618" s="95">
        <v>6</v>
      </c>
      <c r="F618" s="35">
        <v>0</v>
      </c>
    </row>
    <row r="619" spans="1:6" s="4" customFormat="1" ht="12">
      <c r="A619" s="102">
        <v>140414</v>
      </c>
      <c r="B619" s="93" t="s">
        <v>250</v>
      </c>
      <c r="C619" s="106">
        <v>218766687</v>
      </c>
      <c r="D619" s="105" t="s">
        <v>3240</v>
      </c>
      <c r="E619" s="95">
        <v>205</v>
      </c>
      <c r="F619" s="35">
        <v>0</v>
      </c>
    </row>
    <row r="620" spans="1:6" s="4" customFormat="1" ht="12">
      <c r="A620" s="102">
        <v>140414</v>
      </c>
      <c r="B620" s="93" t="s">
        <v>250</v>
      </c>
      <c r="C620" s="103">
        <v>213681736</v>
      </c>
      <c r="D620" s="105" t="s">
        <v>3241</v>
      </c>
      <c r="E620" s="95">
        <v>610</v>
      </c>
      <c r="F620" s="35">
        <v>0</v>
      </c>
    </row>
    <row r="621" spans="1:6" s="4" customFormat="1" ht="12">
      <c r="A621" s="102">
        <v>140414</v>
      </c>
      <c r="B621" s="93" t="s">
        <v>250</v>
      </c>
      <c r="C621" s="106">
        <v>212054720</v>
      </c>
      <c r="D621" s="105" t="s">
        <v>3242</v>
      </c>
      <c r="E621" s="95">
        <v>25</v>
      </c>
      <c r="F621" s="35">
        <v>0</v>
      </c>
    </row>
    <row r="622" spans="1:6" s="4" customFormat="1" ht="12">
      <c r="A622" s="102">
        <v>140414</v>
      </c>
      <c r="B622" s="93" t="s">
        <v>250</v>
      </c>
      <c r="C622" s="106" t="s">
        <v>3243</v>
      </c>
      <c r="D622" s="105" t="s">
        <v>3244</v>
      </c>
      <c r="E622" s="95">
        <v>235</v>
      </c>
      <c r="F622" s="35">
        <v>0</v>
      </c>
    </row>
    <row r="623" spans="1:6" s="4" customFormat="1" ht="12">
      <c r="A623" s="102">
        <v>140414</v>
      </c>
      <c r="B623" s="93" t="s">
        <v>250</v>
      </c>
      <c r="C623" s="103">
        <v>212015720</v>
      </c>
      <c r="D623" s="105" t="s">
        <v>3245</v>
      </c>
      <c r="E623" s="95">
        <v>73</v>
      </c>
      <c r="F623" s="35">
        <v>0</v>
      </c>
    </row>
    <row r="624" spans="1:6" s="4" customFormat="1" ht="12">
      <c r="A624" s="102">
        <v>140414</v>
      </c>
      <c r="B624" s="93" t="s">
        <v>250</v>
      </c>
      <c r="C624" s="103">
        <v>212315723</v>
      </c>
      <c r="D624" s="105" t="s">
        <v>3246</v>
      </c>
      <c r="E624" s="95">
        <v>65</v>
      </c>
      <c r="F624" s="35">
        <v>0</v>
      </c>
    </row>
    <row r="625" spans="1:6" s="4" customFormat="1" ht="12">
      <c r="A625" s="102">
        <v>140414</v>
      </c>
      <c r="B625" s="93" t="s">
        <v>250</v>
      </c>
      <c r="C625" s="106" t="s">
        <v>3247</v>
      </c>
      <c r="D625" s="105" t="s">
        <v>3248</v>
      </c>
      <c r="E625" s="95">
        <v>275</v>
      </c>
      <c r="F625" s="35">
        <v>0</v>
      </c>
    </row>
    <row r="626" spans="1:6" s="4" customFormat="1" ht="12">
      <c r="A626" s="102">
        <v>140414</v>
      </c>
      <c r="B626" s="93" t="s">
        <v>250</v>
      </c>
      <c r="C626" s="103">
        <v>213676736</v>
      </c>
      <c r="D626" s="105" t="s">
        <v>3249</v>
      </c>
      <c r="E626" s="95">
        <v>339</v>
      </c>
      <c r="F626" s="35">
        <v>0</v>
      </c>
    </row>
    <row r="627" spans="1:6" s="4" customFormat="1" ht="12">
      <c r="A627" s="102">
        <v>140414</v>
      </c>
      <c r="B627" s="93" t="s">
        <v>250</v>
      </c>
      <c r="C627" s="103">
        <v>214015740</v>
      </c>
      <c r="D627" s="105" t="s">
        <v>3250</v>
      </c>
      <c r="E627" s="95">
        <v>130</v>
      </c>
      <c r="F627" s="35">
        <v>0</v>
      </c>
    </row>
    <row r="628" spans="1:6" s="4" customFormat="1" ht="12">
      <c r="A628" s="102">
        <v>140414</v>
      </c>
      <c r="B628" s="93" t="s">
        <v>250</v>
      </c>
      <c r="C628" s="106" t="s">
        <v>3251</v>
      </c>
      <c r="D628" s="105" t="s">
        <v>3252</v>
      </c>
      <c r="E628" s="95">
        <v>1055</v>
      </c>
      <c r="F628" s="35">
        <v>0</v>
      </c>
    </row>
    <row r="629" spans="1:6" s="4" customFormat="1" ht="12">
      <c r="A629" s="102">
        <v>140414</v>
      </c>
      <c r="B629" s="93" t="s">
        <v>250</v>
      </c>
      <c r="C629" s="106">
        <v>214986749</v>
      </c>
      <c r="D629" s="105" t="s">
        <v>3253</v>
      </c>
      <c r="E629" s="95">
        <v>107</v>
      </c>
      <c r="F629" s="35">
        <v>0</v>
      </c>
    </row>
    <row r="630" spans="1:6" s="4" customFormat="1" ht="12">
      <c r="A630" s="102">
        <v>140414</v>
      </c>
      <c r="B630" s="93" t="s">
        <v>250</v>
      </c>
      <c r="C630" s="106">
        <v>214354743</v>
      </c>
      <c r="D630" s="105" t="s">
        <v>3254</v>
      </c>
      <c r="E630" s="95">
        <v>137</v>
      </c>
      <c r="F630" s="35">
        <v>0</v>
      </c>
    </row>
    <row r="631" spans="1:6" s="4" customFormat="1" ht="12">
      <c r="A631" s="102">
        <v>140414</v>
      </c>
      <c r="B631" s="93" t="s">
        <v>250</v>
      </c>
      <c r="C631" s="106" t="s">
        <v>3255</v>
      </c>
      <c r="D631" s="105" t="s">
        <v>3256</v>
      </c>
      <c r="E631" s="95">
        <v>530</v>
      </c>
      <c r="F631" s="35">
        <v>0</v>
      </c>
    </row>
    <row r="632" spans="1:6" s="4" customFormat="1" ht="12">
      <c r="A632" s="102">
        <v>140414</v>
      </c>
      <c r="B632" s="93" t="s">
        <v>250</v>
      </c>
      <c r="C632" s="103">
        <v>214319743</v>
      </c>
      <c r="D632" s="105" t="s">
        <v>3257</v>
      </c>
      <c r="E632" s="95">
        <v>286</v>
      </c>
      <c r="F632" s="35">
        <v>0</v>
      </c>
    </row>
    <row r="633" spans="1:6" s="4" customFormat="1" ht="12">
      <c r="A633" s="102">
        <v>140414</v>
      </c>
      <c r="B633" s="93" t="s">
        <v>250</v>
      </c>
      <c r="C633" s="103" t="s">
        <v>3258</v>
      </c>
      <c r="D633" s="105" t="s">
        <v>3259</v>
      </c>
      <c r="E633" s="95">
        <v>230</v>
      </c>
      <c r="F633" s="35">
        <v>0</v>
      </c>
    </row>
    <row r="634" spans="1:6" s="4" customFormat="1" ht="12">
      <c r="A634" s="102">
        <v>140414</v>
      </c>
      <c r="B634" s="93" t="s">
        <v>250</v>
      </c>
      <c r="C634" s="106" t="s">
        <v>3260</v>
      </c>
      <c r="D634" s="105" t="s">
        <v>3261</v>
      </c>
      <c r="E634" s="95">
        <v>283</v>
      </c>
      <c r="F634" s="35">
        <v>0</v>
      </c>
    </row>
    <row r="635" spans="1:6" s="4" customFormat="1" ht="12">
      <c r="A635" s="102">
        <v>140414</v>
      </c>
      <c r="B635" s="93" t="s">
        <v>250</v>
      </c>
      <c r="C635" s="103" t="s">
        <v>3262</v>
      </c>
      <c r="D635" s="105" t="s">
        <v>3263</v>
      </c>
      <c r="E635" s="95">
        <v>27</v>
      </c>
      <c r="F635" s="35">
        <v>0</v>
      </c>
    </row>
    <row r="636" spans="1:6" s="4" customFormat="1" ht="12">
      <c r="A636" s="102">
        <v>140414</v>
      </c>
      <c r="B636" s="93" t="s">
        <v>250</v>
      </c>
      <c r="C636" s="103">
        <v>210170001</v>
      </c>
      <c r="D636" s="105" t="s">
        <v>3264</v>
      </c>
      <c r="E636" s="95">
        <v>8900</v>
      </c>
      <c r="F636" s="35">
        <v>0</v>
      </c>
    </row>
    <row r="637" spans="1:6" s="4" customFormat="1" ht="12">
      <c r="A637" s="102">
        <v>140414</v>
      </c>
      <c r="B637" s="93" t="s">
        <v>250</v>
      </c>
      <c r="C637" s="103" t="s">
        <v>3265</v>
      </c>
      <c r="D637" s="105" t="s">
        <v>3266</v>
      </c>
      <c r="E637" s="95">
        <v>3300</v>
      </c>
      <c r="F637" s="35">
        <v>0</v>
      </c>
    </row>
    <row r="638" spans="1:6" s="4" customFormat="1" ht="12">
      <c r="A638" s="102">
        <v>140414</v>
      </c>
      <c r="B638" s="93" t="s">
        <v>250</v>
      </c>
      <c r="C638" s="103">
        <v>215315753</v>
      </c>
      <c r="D638" s="105" t="s">
        <v>3267</v>
      </c>
      <c r="E638" s="95">
        <v>150</v>
      </c>
      <c r="F638" s="35">
        <v>0</v>
      </c>
    </row>
    <row r="639" spans="1:6" s="4" customFormat="1" ht="12">
      <c r="A639" s="102">
        <v>140414</v>
      </c>
      <c r="B639" s="93" t="s">
        <v>250</v>
      </c>
      <c r="C639" s="103">
        <v>215715757</v>
      </c>
      <c r="D639" s="105" t="s">
        <v>3268</v>
      </c>
      <c r="E639" s="95">
        <v>173</v>
      </c>
      <c r="F639" s="35">
        <v>0</v>
      </c>
    </row>
    <row r="640" spans="1:6" s="4" customFormat="1" ht="12">
      <c r="A640" s="102">
        <v>140414</v>
      </c>
      <c r="B640" s="93" t="s">
        <v>250</v>
      </c>
      <c r="C640" s="103">
        <v>215515755</v>
      </c>
      <c r="D640" s="105" t="s">
        <v>3269</v>
      </c>
      <c r="E640" s="95">
        <v>98</v>
      </c>
      <c r="F640" s="35">
        <v>0</v>
      </c>
    </row>
    <row r="641" spans="1:6" s="4" customFormat="1" ht="12">
      <c r="A641" s="102">
        <v>140414</v>
      </c>
      <c r="B641" s="93" t="s">
        <v>250</v>
      </c>
      <c r="C641" s="103">
        <v>215915759</v>
      </c>
      <c r="D641" s="105" t="s">
        <v>3270</v>
      </c>
      <c r="E641" s="95">
        <v>1850</v>
      </c>
      <c r="F641" s="35">
        <v>0</v>
      </c>
    </row>
    <row r="642" spans="1:6" s="4" customFormat="1" ht="12">
      <c r="A642" s="102">
        <v>140414</v>
      </c>
      <c r="B642" s="93" t="s">
        <v>250</v>
      </c>
      <c r="C642" s="103">
        <v>215618756</v>
      </c>
      <c r="D642" s="105" t="s">
        <v>3271</v>
      </c>
      <c r="E642" s="95">
        <v>165</v>
      </c>
      <c r="F642" s="35">
        <v>0</v>
      </c>
    </row>
    <row r="643" spans="1:6" s="4" customFormat="1" ht="12">
      <c r="A643" s="102">
        <v>140414</v>
      </c>
      <c r="B643" s="93" t="s">
        <v>250</v>
      </c>
      <c r="C643" s="103" t="s">
        <v>3272</v>
      </c>
      <c r="D643" s="105" t="s">
        <v>3273</v>
      </c>
      <c r="E643" s="95">
        <v>22388</v>
      </c>
      <c r="F643" s="35">
        <v>0</v>
      </c>
    </row>
    <row r="644" spans="1:6" s="4" customFormat="1" ht="12">
      <c r="A644" s="102">
        <v>140414</v>
      </c>
      <c r="B644" s="93" t="s">
        <v>250</v>
      </c>
      <c r="C644" s="103">
        <v>218518785</v>
      </c>
      <c r="D644" s="105" t="s">
        <v>3274</v>
      </c>
      <c r="E644" s="95">
        <v>159</v>
      </c>
      <c r="F644" s="35">
        <v>0</v>
      </c>
    </row>
    <row r="645" spans="1:6" s="4" customFormat="1" ht="12">
      <c r="A645" s="102">
        <v>140414</v>
      </c>
      <c r="B645" s="93" t="s">
        <v>250</v>
      </c>
      <c r="C645" s="103">
        <v>216115761</v>
      </c>
      <c r="D645" s="105" t="s">
        <v>3275</v>
      </c>
      <c r="E645" s="95">
        <v>152</v>
      </c>
      <c r="F645" s="35">
        <v>0</v>
      </c>
    </row>
    <row r="646" spans="1:6" s="4" customFormat="1" ht="12">
      <c r="A646" s="102">
        <v>140414</v>
      </c>
      <c r="B646" s="93" t="s">
        <v>250</v>
      </c>
      <c r="C646" s="103" t="s">
        <v>3276</v>
      </c>
      <c r="D646" s="105" t="s">
        <v>3277</v>
      </c>
      <c r="E646" s="95">
        <v>755</v>
      </c>
      <c r="F646" s="35">
        <v>0</v>
      </c>
    </row>
    <row r="647" spans="1:6" s="4" customFormat="1" ht="12">
      <c r="A647" s="102">
        <v>140414</v>
      </c>
      <c r="B647" s="93" t="s">
        <v>250</v>
      </c>
      <c r="C647" s="103" t="s">
        <v>3278</v>
      </c>
      <c r="D647" s="105" t="s">
        <v>3279</v>
      </c>
      <c r="E647" s="95">
        <v>26</v>
      </c>
      <c r="F647" s="35">
        <v>0</v>
      </c>
    </row>
    <row r="648" spans="1:6" s="4" customFormat="1" ht="12">
      <c r="A648" s="102">
        <v>140414</v>
      </c>
      <c r="B648" s="93" t="s">
        <v>250</v>
      </c>
      <c r="C648" s="106" t="s">
        <v>3280</v>
      </c>
      <c r="D648" s="105" t="s">
        <v>3281</v>
      </c>
      <c r="E648" s="95">
        <v>1095</v>
      </c>
      <c r="F648" s="35">
        <v>0</v>
      </c>
    </row>
    <row r="649" spans="1:6" s="4" customFormat="1" ht="12">
      <c r="A649" s="102">
        <v>140414</v>
      </c>
      <c r="B649" s="93" t="s">
        <v>250</v>
      </c>
      <c r="C649" s="103">
        <v>216215762</v>
      </c>
      <c r="D649" s="105" t="s">
        <v>3282</v>
      </c>
      <c r="E649" s="95">
        <v>110</v>
      </c>
      <c r="F649" s="35">
        <v>0</v>
      </c>
    </row>
    <row r="650" spans="1:6" s="4" customFormat="1" ht="12">
      <c r="A650" s="102">
        <v>140414</v>
      </c>
      <c r="B650" s="93" t="s">
        <v>250</v>
      </c>
      <c r="C650" s="103">
        <v>216415764</v>
      </c>
      <c r="D650" s="105" t="s">
        <v>3283</v>
      </c>
      <c r="E650" s="95">
        <v>147</v>
      </c>
      <c r="F650" s="35">
        <v>0</v>
      </c>
    </row>
    <row r="651" spans="1:6" s="4" customFormat="1" ht="12">
      <c r="A651" s="102">
        <v>140414</v>
      </c>
      <c r="B651" s="93" t="s">
        <v>250</v>
      </c>
      <c r="C651" s="103">
        <v>216315763</v>
      </c>
      <c r="D651" s="105" t="s">
        <v>3284</v>
      </c>
      <c r="E651" s="95">
        <v>98</v>
      </c>
      <c r="F651" s="35">
        <v>0</v>
      </c>
    </row>
    <row r="652" spans="1:6" s="4" customFormat="1" ht="12">
      <c r="A652" s="102">
        <v>140414</v>
      </c>
      <c r="B652" s="93" t="s">
        <v>250</v>
      </c>
      <c r="C652" s="103">
        <v>216019760</v>
      </c>
      <c r="D652" s="105" t="s">
        <v>3285</v>
      </c>
      <c r="E652" s="95">
        <v>255</v>
      </c>
      <c r="F652" s="35">
        <v>0</v>
      </c>
    </row>
    <row r="653" spans="1:6" s="4" customFormat="1" ht="12">
      <c r="A653" s="102">
        <v>140414</v>
      </c>
      <c r="B653" s="93" t="s">
        <v>250</v>
      </c>
      <c r="C653" s="103" t="s">
        <v>3286</v>
      </c>
      <c r="D653" s="105" t="s">
        <v>3287</v>
      </c>
      <c r="E653" s="95">
        <v>177</v>
      </c>
      <c r="F653" s="35">
        <v>0</v>
      </c>
    </row>
    <row r="654" spans="1:6" s="4" customFormat="1" ht="12">
      <c r="A654" s="102">
        <v>140414</v>
      </c>
      <c r="B654" s="93" t="s">
        <v>250</v>
      </c>
      <c r="C654" s="103" t="s">
        <v>3288</v>
      </c>
      <c r="D654" s="105" t="s">
        <v>3289</v>
      </c>
      <c r="E654" s="95">
        <v>203</v>
      </c>
      <c r="F654" s="35">
        <v>0</v>
      </c>
    </row>
    <row r="655" spans="1:6" s="4" customFormat="1" ht="12">
      <c r="A655" s="102">
        <v>140414</v>
      </c>
      <c r="B655" s="93" t="s">
        <v>250</v>
      </c>
      <c r="C655" s="103">
        <v>218019780</v>
      </c>
      <c r="D655" s="105" t="s">
        <v>3290</v>
      </c>
      <c r="E655" s="95">
        <v>166</v>
      </c>
      <c r="F655" s="35">
        <v>0</v>
      </c>
    </row>
    <row r="656" spans="1:6" s="4" customFormat="1" ht="12">
      <c r="A656" s="102">
        <v>140414</v>
      </c>
      <c r="B656" s="93" t="s">
        <v>250</v>
      </c>
      <c r="C656" s="106" t="s">
        <v>3291</v>
      </c>
      <c r="D656" s="105" t="s">
        <v>3292</v>
      </c>
      <c r="E656" s="95">
        <v>468</v>
      </c>
      <c r="F656" s="35">
        <v>0</v>
      </c>
    </row>
    <row r="657" spans="1:6" s="4" customFormat="1" ht="12">
      <c r="A657" s="102">
        <v>140414</v>
      </c>
      <c r="B657" s="93" t="s">
        <v>250</v>
      </c>
      <c r="C657" s="103">
        <v>117070000</v>
      </c>
      <c r="D657" s="105" t="s">
        <v>3293</v>
      </c>
      <c r="E657" s="95">
        <v>111</v>
      </c>
      <c r="F657" s="35">
        <v>0</v>
      </c>
    </row>
    <row r="658" spans="1:6" s="4" customFormat="1" ht="12">
      <c r="A658" s="102">
        <v>140414</v>
      </c>
      <c r="B658" s="93" t="s">
        <v>250</v>
      </c>
      <c r="C658" s="106" t="s">
        <v>3294</v>
      </c>
      <c r="D658" s="105" t="s">
        <v>3295</v>
      </c>
      <c r="E658" s="95">
        <v>345</v>
      </c>
      <c r="F658" s="35">
        <v>0</v>
      </c>
    </row>
    <row r="659" spans="1:6" s="4" customFormat="1" ht="12">
      <c r="A659" s="102">
        <v>140414</v>
      </c>
      <c r="B659" s="93" t="s">
        <v>250</v>
      </c>
      <c r="C659" s="106" t="s">
        <v>3296</v>
      </c>
      <c r="D659" s="105" t="s">
        <v>3297</v>
      </c>
      <c r="E659" s="95">
        <v>106</v>
      </c>
      <c r="F659" s="35">
        <v>0</v>
      </c>
    </row>
    <row r="660" spans="1:6" s="4" customFormat="1" ht="12">
      <c r="A660" s="102">
        <v>140414</v>
      </c>
      <c r="B660" s="93" t="s">
        <v>250</v>
      </c>
      <c r="C660" s="103">
        <v>217717777</v>
      </c>
      <c r="D660" s="105" t="s">
        <v>3298</v>
      </c>
      <c r="E660" s="95">
        <v>249</v>
      </c>
      <c r="F660" s="35">
        <v>0</v>
      </c>
    </row>
    <row r="661" spans="1:6" s="4" customFormat="1" ht="12">
      <c r="A661" s="102">
        <v>140414</v>
      </c>
      <c r="B661" s="93" t="s">
        <v>250</v>
      </c>
      <c r="C661" s="103" t="s">
        <v>3299</v>
      </c>
      <c r="D661" s="105" t="s">
        <v>3300</v>
      </c>
      <c r="E661" s="95">
        <v>139</v>
      </c>
      <c r="F661" s="35">
        <v>0</v>
      </c>
    </row>
    <row r="662" spans="1:6" s="4" customFormat="1" ht="12">
      <c r="A662" s="102">
        <v>140414</v>
      </c>
      <c r="B662" s="93" t="s">
        <v>250</v>
      </c>
      <c r="C662" s="103">
        <v>217415774</v>
      </c>
      <c r="D662" s="105" t="s">
        <v>3301</v>
      </c>
      <c r="E662" s="95">
        <v>122</v>
      </c>
      <c r="F662" s="35">
        <v>0</v>
      </c>
    </row>
    <row r="663" spans="1:6" s="4" customFormat="1" ht="12">
      <c r="A663" s="102">
        <v>140414</v>
      </c>
      <c r="B663" s="93" t="s">
        <v>250</v>
      </c>
      <c r="C663" s="103">
        <v>217615776</v>
      </c>
      <c r="D663" s="105" t="s">
        <v>3302</v>
      </c>
      <c r="E663" s="95">
        <v>142</v>
      </c>
      <c r="F663" s="35">
        <v>0</v>
      </c>
    </row>
    <row r="664" spans="1:6" s="4" customFormat="1" ht="12">
      <c r="A664" s="102">
        <v>140414</v>
      </c>
      <c r="B664" s="93" t="s">
        <v>250</v>
      </c>
      <c r="C664" s="106" t="s">
        <v>3303</v>
      </c>
      <c r="D664" s="105" t="s">
        <v>3304</v>
      </c>
      <c r="E664" s="95">
        <v>142</v>
      </c>
      <c r="F664" s="35">
        <v>0</v>
      </c>
    </row>
    <row r="665" spans="1:6" s="4" customFormat="1" ht="12">
      <c r="A665" s="102">
        <v>140414</v>
      </c>
      <c r="B665" s="93" t="s">
        <v>250</v>
      </c>
      <c r="C665" s="103">
        <v>217815778</v>
      </c>
      <c r="D665" s="105" t="s">
        <v>3305</v>
      </c>
      <c r="E665" s="95">
        <v>135</v>
      </c>
      <c r="F665" s="35">
        <v>0</v>
      </c>
    </row>
    <row r="666" spans="1:6" s="4" customFormat="1" ht="12">
      <c r="A666" s="102">
        <v>140414</v>
      </c>
      <c r="B666" s="93" t="s">
        <v>250</v>
      </c>
      <c r="C666" s="106" t="s">
        <v>3306</v>
      </c>
      <c r="D666" s="105" t="s">
        <v>3307</v>
      </c>
      <c r="E666" s="95">
        <v>481</v>
      </c>
      <c r="F666" s="35">
        <v>0</v>
      </c>
    </row>
    <row r="667" spans="1:6" s="4" customFormat="1" ht="12">
      <c r="A667" s="102">
        <v>140414</v>
      </c>
      <c r="B667" s="93" t="s">
        <v>250</v>
      </c>
      <c r="C667" s="103" t="s">
        <v>3308</v>
      </c>
      <c r="D667" s="105" t="s">
        <v>3309</v>
      </c>
      <c r="E667" s="95">
        <v>106</v>
      </c>
      <c r="F667" s="35">
        <v>0</v>
      </c>
    </row>
    <row r="668" spans="1:6" s="4" customFormat="1" ht="12">
      <c r="A668" s="102">
        <v>140414</v>
      </c>
      <c r="B668" s="93" t="s">
        <v>250</v>
      </c>
      <c r="C668" s="103" t="s">
        <v>3310</v>
      </c>
      <c r="D668" s="105" t="s">
        <v>3311</v>
      </c>
      <c r="E668" s="95">
        <v>234</v>
      </c>
      <c r="F668" s="35">
        <v>0</v>
      </c>
    </row>
    <row r="669" spans="1:6" s="4" customFormat="1" ht="12">
      <c r="A669" s="102">
        <v>140414</v>
      </c>
      <c r="B669" s="93" t="s">
        <v>250</v>
      </c>
      <c r="C669" s="103">
        <v>210085400</v>
      </c>
      <c r="D669" s="105" t="s">
        <v>3312</v>
      </c>
      <c r="E669" s="95">
        <v>202</v>
      </c>
      <c r="F669" s="35">
        <v>0</v>
      </c>
    </row>
    <row r="670" spans="1:6" s="4" customFormat="1" ht="12">
      <c r="A670" s="102">
        <v>140414</v>
      </c>
      <c r="B670" s="93" t="s">
        <v>250</v>
      </c>
      <c r="C670" s="103">
        <v>216697666</v>
      </c>
      <c r="D670" s="105" t="s">
        <v>3313</v>
      </c>
      <c r="E670" s="95">
        <v>148</v>
      </c>
      <c r="F670" s="35">
        <v>0</v>
      </c>
    </row>
    <row r="671" spans="1:6" s="4" customFormat="1" ht="12">
      <c r="A671" s="102">
        <v>140414</v>
      </c>
      <c r="B671" s="93" t="s">
        <v>250</v>
      </c>
      <c r="C671" s="103">
        <v>219005790</v>
      </c>
      <c r="D671" s="105" t="s">
        <v>3314</v>
      </c>
      <c r="E671" s="95">
        <v>386</v>
      </c>
      <c r="F671" s="35">
        <v>0</v>
      </c>
    </row>
    <row r="672" spans="1:6" s="4" customFormat="1" ht="12">
      <c r="A672" s="102">
        <v>140414</v>
      </c>
      <c r="B672" s="93" t="s">
        <v>250</v>
      </c>
      <c r="C672" s="103">
        <v>219141791</v>
      </c>
      <c r="D672" s="105" t="s">
        <v>3315</v>
      </c>
      <c r="E672" s="95">
        <v>153</v>
      </c>
      <c r="F672" s="35">
        <v>0</v>
      </c>
    </row>
    <row r="673" spans="1:6" s="4" customFormat="1" ht="12">
      <c r="A673" s="102">
        <v>140414</v>
      </c>
      <c r="B673" s="93" t="s">
        <v>250</v>
      </c>
      <c r="C673" s="103" t="s">
        <v>3316</v>
      </c>
      <c r="D673" s="105" t="s">
        <v>3317</v>
      </c>
      <c r="E673" s="95">
        <v>242</v>
      </c>
      <c r="F673" s="35">
        <v>0</v>
      </c>
    </row>
    <row r="674" spans="1:6" s="4" customFormat="1" ht="12">
      <c r="A674" s="102">
        <v>140414</v>
      </c>
      <c r="B674" s="93" t="s">
        <v>250</v>
      </c>
      <c r="C674" s="103">
        <v>219015790</v>
      </c>
      <c r="D674" s="105" t="s">
        <v>3318</v>
      </c>
      <c r="E674" s="95">
        <v>68</v>
      </c>
      <c r="F674" s="35">
        <v>0</v>
      </c>
    </row>
    <row r="675" spans="1:6" s="4" customFormat="1" ht="12">
      <c r="A675" s="102">
        <v>140414</v>
      </c>
      <c r="B675" s="93" t="s">
        <v>250</v>
      </c>
      <c r="C675" s="103">
        <v>211085410</v>
      </c>
      <c r="D675" s="105" t="s">
        <v>3319</v>
      </c>
      <c r="E675" s="95">
        <v>1275</v>
      </c>
      <c r="F675" s="35">
        <v>0</v>
      </c>
    </row>
    <row r="676" spans="1:6" s="4" customFormat="1" ht="12">
      <c r="A676" s="102">
        <v>140414</v>
      </c>
      <c r="B676" s="93" t="s">
        <v>250</v>
      </c>
      <c r="C676" s="106" t="s">
        <v>3320</v>
      </c>
      <c r="D676" s="105" t="s">
        <v>3321</v>
      </c>
      <c r="E676" s="95">
        <v>162</v>
      </c>
      <c r="F676" s="35">
        <v>0</v>
      </c>
    </row>
    <row r="677" spans="1:6" s="4" customFormat="1" ht="12">
      <c r="A677" s="102">
        <v>140414</v>
      </c>
      <c r="B677" s="93" t="s">
        <v>250</v>
      </c>
      <c r="C677" s="103" t="s">
        <v>3322</v>
      </c>
      <c r="D677" s="105" t="s">
        <v>3323</v>
      </c>
      <c r="E677" s="95">
        <v>197</v>
      </c>
      <c r="F677" s="35">
        <v>0</v>
      </c>
    </row>
    <row r="678" spans="1:6" s="4" customFormat="1" ht="12">
      <c r="A678" s="102">
        <v>140414</v>
      </c>
      <c r="B678" s="93" t="s">
        <v>250</v>
      </c>
      <c r="C678" s="103">
        <v>219847798</v>
      </c>
      <c r="D678" s="105" t="s">
        <v>3324</v>
      </c>
      <c r="E678" s="95">
        <v>5</v>
      </c>
      <c r="F678" s="35">
        <v>0</v>
      </c>
    </row>
    <row r="679" spans="1:6" s="4" customFormat="1" ht="12">
      <c r="A679" s="102">
        <v>140414</v>
      </c>
      <c r="B679" s="93" t="s">
        <v>250</v>
      </c>
      <c r="C679" s="106" t="s">
        <v>3325</v>
      </c>
      <c r="D679" s="105" t="s">
        <v>3326</v>
      </c>
      <c r="E679" s="95">
        <v>592</v>
      </c>
      <c r="F679" s="35">
        <v>0</v>
      </c>
    </row>
    <row r="680" spans="1:6" s="4" customFormat="1" ht="12">
      <c r="A680" s="102">
        <v>140414</v>
      </c>
      <c r="B680" s="93" t="s">
        <v>250</v>
      </c>
      <c r="C680" s="103">
        <v>219815798</v>
      </c>
      <c r="D680" s="105" t="s">
        <v>3327</v>
      </c>
      <c r="E680" s="95">
        <v>159</v>
      </c>
      <c r="F680" s="35">
        <v>0</v>
      </c>
    </row>
    <row r="681" spans="1:6" s="4" customFormat="1" ht="12">
      <c r="A681" s="102">
        <v>140414</v>
      </c>
      <c r="B681" s="93" t="s">
        <v>250</v>
      </c>
      <c r="C681" s="103" t="s">
        <v>3328</v>
      </c>
      <c r="D681" s="105" t="s">
        <v>3329</v>
      </c>
      <c r="E681" s="95">
        <v>176</v>
      </c>
      <c r="F681" s="35">
        <v>0</v>
      </c>
    </row>
    <row r="682" spans="1:6" s="4" customFormat="1" ht="12">
      <c r="A682" s="102">
        <v>140414</v>
      </c>
      <c r="B682" s="93" t="s">
        <v>250</v>
      </c>
      <c r="C682" s="103" t="s">
        <v>3330</v>
      </c>
      <c r="D682" s="105" t="s">
        <v>3331</v>
      </c>
      <c r="E682" s="95">
        <v>190</v>
      </c>
      <c r="F682" s="35">
        <v>0</v>
      </c>
    </row>
    <row r="683" spans="1:6" s="4" customFormat="1" ht="12">
      <c r="A683" s="102">
        <v>140414</v>
      </c>
      <c r="B683" s="93" t="s">
        <v>250</v>
      </c>
      <c r="C683" s="106" t="s">
        <v>3332</v>
      </c>
      <c r="D683" s="105" t="s">
        <v>3333</v>
      </c>
      <c r="E683" s="95">
        <v>186</v>
      </c>
      <c r="F683" s="35">
        <v>0</v>
      </c>
    </row>
    <row r="684" spans="1:6" s="4" customFormat="1" ht="12">
      <c r="A684" s="102">
        <v>140414</v>
      </c>
      <c r="B684" s="93" t="s">
        <v>250</v>
      </c>
      <c r="C684" s="103">
        <v>210415804</v>
      </c>
      <c r="D684" s="105" t="s">
        <v>3334</v>
      </c>
      <c r="E684" s="95">
        <v>146</v>
      </c>
      <c r="F684" s="35">
        <v>0</v>
      </c>
    </row>
    <row r="685" spans="1:6" s="4" customFormat="1" ht="12">
      <c r="A685" s="102">
        <v>140414</v>
      </c>
      <c r="B685" s="93" t="s">
        <v>250</v>
      </c>
      <c r="C685" s="103">
        <v>210615806</v>
      </c>
      <c r="D685" s="105" t="s">
        <v>3335</v>
      </c>
      <c r="E685" s="95">
        <v>345</v>
      </c>
      <c r="F685" s="35">
        <v>0</v>
      </c>
    </row>
    <row r="686" spans="1:6" s="4" customFormat="1" ht="12">
      <c r="A686" s="102">
        <v>140414</v>
      </c>
      <c r="B686" s="93" t="s">
        <v>250</v>
      </c>
      <c r="C686" s="106" t="s">
        <v>3336</v>
      </c>
      <c r="D686" s="105" t="s">
        <v>3337</v>
      </c>
      <c r="E686" s="95">
        <v>145</v>
      </c>
      <c r="F686" s="35">
        <v>0</v>
      </c>
    </row>
    <row r="687" spans="1:6" s="4" customFormat="1" ht="12">
      <c r="A687" s="102">
        <v>140414</v>
      </c>
      <c r="B687" s="93" t="s">
        <v>250</v>
      </c>
      <c r="C687" s="106">
        <v>211054810</v>
      </c>
      <c r="D687" s="105" t="s">
        <v>3338</v>
      </c>
      <c r="E687" s="95">
        <v>389</v>
      </c>
      <c r="F687" s="35">
        <v>0</v>
      </c>
    </row>
    <row r="688" spans="1:6" s="4" customFormat="1" ht="12">
      <c r="A688" s="102">
        <v>140414</v>
      </c>
      <c r="B688" s="93" t="s">
        <v>250</v>
      </c>
      <c r="C688" s="103" t="s">
        <v>3339</v>
      </c>
      <c r="D688" s="105" t="s">
        <v>3340</v>
      </c>
      <c r="E688" s="95">
        <v>575</v>
      </c>
      <c r="F688" s="35">
        <v>0</v>
      </c>
    </row>
    <row r="689" spans="1:6" s="4" customFormat="1" ht="12">
      <c r="A689" s="102">
        <v>140414</v>
      </c>
      <c r="B689" s="93" t="s">
        <v>250</v>
      </c>
      <c r="C689" s="103" t="s">
        <v>3341</v>
      </c>
      <c r="D689" s="105" t="s">
        <v>3342</v>
      </c>
      <c r="E689" s="95">
        <v>255</v>
      </c>
      <c r="F689" s="35">
        <v>0</v>
      </c>
    </row>
    <row r="690" spans="1:6" s="4" customFormat="1" ht="12">
      <c r="A690" s="102">
        <v>140414</v>
      </c>
      <c r="B690" s="93" t="s">
        <v>250</v>
      </c>
      <c r="C690" s="103">
        <v>210815808</v>
      </c>
      <c r="D690" s="105" t="s">
        <v>3343</v>
      </c>
      <c r="E690" s="95">
        <v>60</v>
      </c>
      <c r="F690" s="35">
        <v>0</v>
      </c>
    </row>
    <row r="691" spans="1:6" s="4" customFormat="1" ht="12">
      <c r="A691" s="102">
        <v>140414</v>
      </c>
      <c r="B691" s="93" t="s">
        <v>250</v>
      </c>
      <c r="C691" s="103">
        <v>211015810</v>
      </c>
      <c r="D691" s="105" t="s">
        <v>3344</v>
      </c>
      <c r="E691" s="95">
        <v>122</v>
      </c>
      <c r="F691" s="35">
        <v>0</v>
      </c>
    </row>
    <row r="692" spans="1:6" s="4" customFormat="1" ht="12">
      <c r="A692" s="102">
        <v>140414</v>
      </c>
      <c r="B692" s="93" t="s">
        <v>250</v>
      </c>
      <c r="C692" s="103" t="s">
        <v>3345</v>
      </c>
      <c r="D692" s="105" t="s">
        <v>3346</v>
      </c>
      <c r="E692" s="95">
        <v>307</v>
      </c>
      <c r="F692" s="35">
        <v>0</v>
      </c>
    </row>
    <row r="693" spans="1:6" s="4" customFormat="1" ht="12">
      <c r="A693" s="102">
        <v>140414</v>
      </c>
      <c r="B693" s="93" t="s">
        <v>250</v>
      </c>
      <c r="C693" s="103">
        <v>211415814</v>
      </c>
      <c r="D693" s="105" t="s">
        <v>3347</v>
      </c>
      <c r="E693" s="95">
        <v>175</v>
      </c>
      <c r="F693" s="35">
        <v>0</v>
      </c>
    </row>
    <row r="694" spans="1:6" s="4" customFormat="1" ht="12">
      <c r="A694" s="102">
        <v>140414</v>
      </c>
      <c r="B694" s="93" t="s">
        <v>250</v>
      </c>
      <c r="C694" s="106" t="s">
        <v>3348</v>
      </c>
      <c r="D694" s="105" t="s">
        <v>3349</v>
      </c>
      <c r="E694" s="95">
        <v>444</v>
      </c>
      <c r="F694" s="35">
        <v>0</v>
      </c>
    </row>
    <row r="695" spans="1:6" s="4" customFormat="1" ht="12">
      <c r="A695" s="102">
        <v>140414</v>
      </c>
      <c r="B695" s="93" t="s">
        <v>250</v>
      </c>
      <c r="C695" s="106" t="s">
        <v>3350</v>
      </c>
      <c r="D695" s="105" t="s">
        <v>3351</v>
      </c>
      <c r="E695" s="95">
        <v>1330</v>
      </c>
      <c r="F695" s="35">
        <v>0</v>
      </c>
    </row>
    <row r="696" spans="1:6" s="4" customFormat="1" ht="12">
      <c r="A696" s="102">
        <v>140414</v>
      </c>
      <c r="B696" s="93" t="s">
        <v>250</v>
      </c>
      <c r="C696" s="103">
        <v>211615816</v>
      </c>
      <c r="D696" s="105" t="s">
        <v>3352</v>
      </c>
      <c r="E696" s="95">
        <v>131</v>
      </c>
      <c r="F696" s="35">
        <v>0</v>
      </c>
    </row>
    <row r="697" spans="1:6" s="4" customFormat="1" ht="12">
      <c r="A697" s="102">
        <v>140414</v>
      </c>
      <c r="B697" s="93" t="s">
        <v>250</v>
      </c>
      <c r="C697" s="103" t="s">
        <v>3353</v>
      </c>
      <c r="D697" s="105" t="s">
        <v>3354</v>
      </c>
      <c r="E697" s="95">
        <v>262</v>
      </c>
      <c r="F697" s="35">
        <v>0</v>
      </c>
    </row>
    <row r="698" spans="1:6" s="4" customFormat="1" ht="12">
      <c r="A698" s="102">
        <v>140414</v>
      </c>
      <c r="B698" s="93" t="s">
        <v>250</v>
      </c>
      <c r="C698" s="103" t="s">
        <v>3355</v>
      </c>
      <c r="D698" s="105" t="s">
        <v>3356</v>
      </c>
      <c r="E698" s="95">
        <v>113</v>
      </c>
      <c r="F698" s="35">
        <v>0</v>
      </c>
    </row>
    <row r="699" spans="1:6" s="4" customFormat="1" ht="12">
      <c r="A699" s="102">
        <v>140414</v>
      </c>
      <c r="B699" s="93" t="s">
        <v>250</v>
      </c>
      <c r="C699" s="103">
        <v>212015820</v>
      </c>
      <c r="D699" s="105" t="s">
        <v>3357</v>
      </c>
      <c r="E699" s="95">
        <v>44</v>
      </c>
      <c r="F699" s="35">
        <v>0</v>
      </c>
    </row>
    <row r="700" spans="1:6" s="4" customFormat="1" ht="12">
      <c r="A700" s="102">
        <v>140414</v>
      </c>
      <c r="B700" s="93" t="s">
        <v>250</v>
      </c>
      <c r="C700" s="106">
        <v>212119821</v>
      </c>
      <c r="D700" s="105" t="s">
        <v>3358</v>
      </c>
      <c r="E700" s="95">
        <v>350</v>
      </c>
      <c r="F700" s="35">
        <v>0</v>
      </c>
    </row>
    <row r="701" spans="1:6" s="4" customFormat="1" ht="12">
      <c r="A701" s="102">
        <v>140414</v>
      </c>
      <c r="B701" s="93" t="s">
        <v>250</v>
      </c>
      <c r="C701" s="103">
        <v>212376823</v>
      </c>
      <c r="D701" s="105" t="s">
        <v>3359</v>
      </c>
      <c r="E701" s="95">
        <v>235</v>
      </c>
      <c r="F701" s="35">
        <v>0</v>
      </c>
    </row>
    <row r="702" spans="1:6" s="4" customFormat="1" ht="12">
      <c r="A702" s="102">
        <v>140414</v>
      </c>
      <c r="B702" s="93" t="s">
        <v>250</v>
      </c>
      <c r="C702" s="103">
        <v>212215822</v>
      </c>
      <c r="D702" s="105" t="s">
        <v>3360</v>
      </c>
      <c r="E702" s="95">
        <v>85</v>
      </c>
      <c r="F702" s="35">
        <v>0</v>
      </c>
    </row>
    <row r="703" spans="1:6" s="4" customFormat="1" ht="12">
      <c r="A703" s="102">
        <v>140414</v>
      </c>
      <c r="B703" s="93" t="s">
        <v>250</v>
      </c>
      <c r="C703" s="103">
        <v>213085430</v>
      </c>
      <c r="D703" s="105" t="s">
        <v>3361</v>
      </c>
      <c r="E703" s="95">
        <v>322</v>
      </c>
      <c r="F703" s="35">
        <v>0</v>
      </c>
    </row>
    <row r="704" spans="1:6" s="4" customFormat="1" ht="12">
      <c r="A704" s="102">
        <v>140414</v>
      </c>
      <c r="B704" s="93" t="s">
        <v>250</v>
      </c>
      <c r="C704" s="103">
        <v>212876828</v>
      </c>
      <c r="D704" s="105" t="s">
        <v>3362</v>
      </c>
      <c r="E704" s="95">
        <v>162</v>
      </c>
      <c r="F704" s="35">
        <v>0</v>
      </c>
    </row>
    <row r="705" spans="1:6" s="4" customFormat="1" ht="12">
      <c r="A705" s="102">
        <v>140414</v>
      </c>
      <c r="B705" s="93" t="s">
        <v>250</v>
      </c>
      <c r="C705" s="103">
        <v>213476834</v>
      </c>
      <c r="D705" s="105" t="s">
        <v>3363</v>
      </c>
      <c r="E705" s="95">
        <v>15273</v>
      </c>
      <c r="F705" s="35">
        <v>0</v>
      </c>
    </row>
    <row r="706" spans="1:6" s="4" customFormat="1" ht="12">
      <c r="A706" s="102">
        <v>140414</v>
      </c>
      <c r="B706" s="93" t="s">
        <v>250</v>
      </c>
      <c r="C706" s="103" t="s">
        <v>3364</v>
      </c>
      <c r="D706" s="105" t="s">
        <v>3365</v>
      </c>
      <c r="E706" s="95">
        <v>144727</v>
      </c>
      <c r="F706" s="35">
        <v>0</v>
      </c>
    </row>
    <row r="707" spans="1:6" s="4" customFormat="1" ht="12">
      <c r="A707" s="102">
        <v>140414</v>
      </c>
      <c r="B707" s="93" t="s">
        <v>250</v>
      </c>
      <c r="C707" s="103">
        <v>213215832</v>
      </c>
      <c r="D707" s="105" t="s">
        <v>3366</v>
      </c>
      <c r="E707" s="95">
        <v>95</v>
      </c>
      <c r="F707" s="35">
        <v>0</v>
      </c>
    </row>
    <row r="708" spans="1:6" s="4" customFormat="1" ht="12">
      <c r="A708" s="102">
        <v>140414</v>
      </c>
      <c r="B708" s="93" t="s">
        <v>250</v>
      </c>
      <c r="C708" s="103">
        <v>213852838</v>
      </c>
      <c r="D708" s="105" t="s">
        <v>3367</v>
      </c>
      <c r="E708" s="95">
        <v>454</v>
      </c>
      <c r="F708" s="35">
        <v>0</v>
      </c>
    </row>
    <row r="709" spans="1:6" s="4" customFormat="1" ht="12">
      <c r="A709" s="102">
        <v>140414</v>
      </c>
      <c r="B709" s="93" t="s">
        <v>250</v>
      </c>
      <c r="C709" s="103" t="s">
        <v>3368</v>
      </c>
      <c r="D709" s="105" t="s">
        <v>3369</v>
      </c>
      <c r="E709" s="95">
        <v>1065</v>
      </c>
      <c r="F709" s="35">
        <v>0</v>
      </c>
    </row>
    <row r="710" spans="1:6" s="4" customFormat="1" ht="12">
      <c r="A710" s="102">
        <v>140414</v>
      </c>
      <c r="B710" s="93" t="s">
        <v>250</v>
      </c>
      <c r="C710" s="103">
        <v>213515835</v>
      </c>
      <c r="D710" s="105" t="s">
        <v>3370</v>
      </c>
      <c r="E710" s="95">
        <v>163</v>
      </c>
      <c r="F710" s="35">
        <v>0</v>
      </c>
    </row>
    <row r="711" spans="1:6" s="4" customFormat="1" ht="12">
      <c r="A711" s="102">
        <v>140414</v>
      </c>
      <c r="B711" s="93" t="s">
        <v>250</v>
      </c>
      <c r="C711" s="103">
        <v>213715837</v>
      </c>
      <c r="D711" s="105" t="s">
        <v>3371</v>
      </c>
      <c r="E711" s="95">
        <v>296</v>
      </c>
      <c r="F711" s="35">
        <v>0</v>
      </c>
    </row>
    <row r="712" spans="1:6" s="4" customFormat="1" ht="12">
      <c r="A712" s="102">
        <v>140414</v>
      </c>
      <c r="B712" s="93" t="s">
        <v>250</v>
      </c>
      <c r="C712" s="103">
        <v>213915839</v>
      </c>
      <c r="D712" s="105" t="s">
        <v>3372</v>
      </c>
      <c r="E712" s="95">
        <v>26</v>
      </c>
      <c r="F712" s="35">
        <v>0</v>
      </c>
    </row>
    <row r="713" spans="1:6" s="4" customFormat="1" ht="12">
      <c r="A713" s="102">
        <v>140414</v>
      </c>
      <c r="B713" s="93" t="s">
        <v>250</v>
      </c>
      <c r="C713" s="106" t="s">
        <v>3373</v>
      </c>
      <c r="D713" s="105" t="s">
        <v>3374</v>
      </c>
      <c r="E713" s="95">
        <v>328</v>
      </c>
      <c r="F713" s="35">
        <v>0</v>
      </c>
    </row>
    <row r="714" spans="1:6" s="4" customFormat="1" ht="12">
      <c r="A714" s="102">
        <v>140414</v>
      </c>
      <c r="B714" s="93" t="s">
        <v>250</v>
      </c>
      <c r="C714" s="106" t="s">
        <v>3375</v>
      </c>
      <c r="D714" s="105" t="s">
        <v>3376</v>
      </c>
      <c r="E714" s="95">
        <v>173</v>
      </c>
      <c r="F714" s="35">
        <v>0</v>
      </c>
    </row>
    <row r="715" spans="1:6" s="4" customFormat="1" ht="12">
      <c r="A715" s="102">
        <v>140414</v>
      </c>
      <c r="B715" s="93" t="s">
        <v>250</v>
      </c>
      <c r="C715" s="103">
        <v>214576845</v>
      </c>
      <c r="D715" s="105" t="s">
        <v>3377</v>
      </c>
      <c r="E715" s="95">
        <v>122</v>
      </c>
      <c r="F715" s="35">
        <v>0</v>
      </c>
    </row>
    <row r="716" spans="1:6" s="4" customFormat="1" ht="12">
      <c r="A716" s="102">
        <v>140414</v>
      </c>
      <c r="B716" s="93" t="s">
        <v>250</v>
      </c>
      <c r="C716" s="106" t="s">
        <v>3378</v>
      </c>
      <c r="D716" s="105" t="s">
        <v>3379</v>
      </c>
      <c r="E716" s="95">
        <v>284</v>
      </c>
      <c r="F716" s="35">
        <v>0</v>
      </c>
    </row>
    <row r="717" spans="1:6" s="4" customFormat="1" ht="12">
      <c r="A717" s="102">
        <v>140414</v>
      </c>
      <c r="B717" s="93" t="s">
        <v>250</v>
      </c>
      <c r="C717" s="103">
        <v>211027810</v>
      </c>
      <c r="D717" s="105" t="s">
        <v>3380</v>
      </c>
      <c r="E717" s="95">
        <v>204</v>
      </c>
      <c r="F717" s="35">
        <v>0</v>
      </c>
    </row>
    <row r="718" spans="1:6" s="4" customFormat="1" ht="12">
      <c r="A718" s="102">
        <v>140414</v>
      </c>
      <c r="B718" s="93" t="s">
        <v>250</v>
      </c>
      <c r="C718" s="103" t="s">
        <v>3381</v>
      </c>
      <c r="D718" s="105" t="s">
        <v>3382</v>
      </c>
      <c r="E718" s="95">
        <v>169</v>
      </c>
      <c r="F718" s="35">
        <v>0</v>
      </c>
    </row>
    <row r="719" spans="1:6" s="4" customFormat="1" ht="12">
      <c r="A719" s="102">
        <v>140414</v>
      </c>
      <c r="B719" s="93" t="s">
        <v>250</v>
      </c>
      <c r="C719" s="106" t="s">
        <v>3383</v>
      </c>
      <c r="D719" s="105" t="s">
        <v>3384</v>
      </c>
      <c r="E719" s="95">
        <v>119</v>
      </c>
      <c r="F719" s="35">
        <v>0</v>
      </c>
    </row>
    <row r="720" spans="1:6" s="4" customFormat="1" ht="12">
      <c r="A720" s="102">
        <v>140414</v>
      </c>
      <c r="B720" s="93" t="s">
        <v>250</v>
      </c>
      <c r="C720" s="103" t="s">
        <v>3385</v>
      </c>
      <c r="D720" s="105" t="s">
        <v>3386</v>
      </c>
      <c r="E720" s="95">
        <v>460</v>
      </c>
      <c r="F720" s="35">
        <v>0</v>
      </c>
    </row>
    <row r="721" spans="1:6" s="4" customFormat="1" ht="12">
      <c r="A721" s="102">
        <v>140414</v>
      </c>
      <c r="B721" s="93" t="s">
        <v>250</v>
      </c>
      <c r="C721" s="103" t="s">
        <v>3387</v>
      </c>
      <c r="D721" s="105" t="s">
        <v>3388</v>
      </c>
      <c r="E721" s="95">
        <v>34</v>
      </c>
      <c r="F721" s="35">
        <v>0</v>
      </c>
    </row>
    <row r="722" spans="1:6" s="4" customFormat="1" ht="12">
      <c r="A722" s="102">
        <v>140414</v>
      </c>
      <c r="B722" s="93" t="s">
        <v>250</v>
      </c>
      <c r="C722" s="106" t="s">
        <v>3389</v>
      </c>
      <c r="D722" s="105" t="s">
        <v>3390</v>
      </c>
      <c r="E722" s="95">
        <v>101</v>
      </c>
      <c r="F722" s="35">
        <v>0</v>
      </c>
    </row>
    <row r="723" spans="1:6" s="4" customFormat="1" ht="12">
      <c r="A723" s="102">
        <v>140414</v>
      </c>
      <c r="B723" s="93" t="s">
        <v>250</v>
      </c>
      <c r="C723" s="103" t="s">
        <v>3391</v>
      </c>
      <c r="D723" s="105" t="s">
        <v>3392</v>
      </c>
      <c r="E723" s="95">
        <v>196</v>
      </c>
      <c r="F723" s="35">
        <v>0</v>
      </c>
    </row>
    <row r="724" spans="1:6" s="4" customFormat="1" ht="12">
      <c r="A724" s="102">
        <v>140414</v>
      </c>
      <c r="B724" s="93" t="s">
        <v>250</v>
      </c>
      <c r="C724" s="103" t="s">
        <v>3393</v>
      </c>
      <c r="D724" s="105" t="s">
        <v>3394</v>
      </c>
      <c r="E724" s="95">
        <v>13</v>
      </c>
      <c r="F724" s="35">
        <v>0</v>
      </c>
    </row>
    <row r="725" spans="1:6" s="4" customFormat="1" ht="12">
      <c r="A725" s="102">
        <v>140414</v>
      </c>
      <c r="B725" s="93" t="s">
        <v>250</v>
      </c>
      <c r="C725" s="103">
        <v>215568855</v>
      </c>
      <c r="D725" s="105" t="s">
        <v>3395</v>
      </c>
      <c r="E725" s="95">
        <v>125</v>
      </c>
      <c r="F725" s="35">
        <v>0</v>
      </c>
    </row>
    <row r="726" spans="1:6" s="4" customFormat="1" ht="12">
      <c r="A726" s="102">
        <v>140414</v>
      </c>
      <c r="B726" s="93" t="s">
        <v>250</v>
      </c>
      <c r="C726" s="106">
        <v>218586865</v>
      </c>
      <c r="D726" s="105" t="s">
        <v>3396</v>
      </c>
      <c r="E726" s="95">
        <v>350</v>
      </c>
      <c r="F726" s="35">
        <v>0</v>
      </c>
    </row>
    <row r="727" spans="1:6" s="4" customFormat="1" ht="12">
      <c r="A727" s="102">
        <v>140414</v>
      </c>
      <c r="B727" s="93" t="s">
        <v>250</v>
      </c>
      <c r="C727" s="103" t="s">
        <v>3397</v>
      </c>
      <c r="D727" s="105" t="s">
        <v>3398</v>
      </c>
      <c r="E727" s="95">
        <v>8263</v>
      </c>
      <c r="F727" s="35">
        <v>0</v>
      </c>
    </row>
    <row r="728" spans="1:6" s="4" customFormat="1" ht="12">
      <c r="A728" s="102">
        <v>140414</v>
      </c>
      <c r="B728" s="93" t="s">
        <v>250</v>
      </c>
      <c r="C728" s="103" t="s">
        <v>3399</v>
      </c>
      <c r="D728" s="105" t="s">
        <v>3400</v>
      </c>
      <c r="E728" s="95">
        <v>122</v>
      </c>
      <c r="F728" s="35">
        <v>0</v>
      </c>
    </row>
    <row r="729" spans="1:6" s="4" customFormat="1" ht="12">
      <c r="A729" s="102">
        <v>140414</v>
      </c>
      <c r="B729" s="93" t="s">
        <v>250</v>
      </c>
      <c r="C729" s="103" t="s">
        <v>3401</v>
      </c>
      <c r="D729" s="105" t="s">
        <v>3402</v>
      </c>
      <c r="E729" s="95">
        <v>465</v>
      </c>
      <c r="F729" s="35">
        <v>0</v>
      </c>
    </row>
    <row r="730" spans="1:6" s="4" customFormat="1" ht="12">
      <c r="A730" s="102">
        <v>140414</v>
      </c>
      <c r="B730" s="93" t="s">
        <v>250</v>
      </c>
      <c r="C730" s="103">
        <v>216173861</v>
      </c>
      <c r="D730" s="105" t="s">
        <v>3403</v>
      </c>
      <c r="E730" s="95">
        <v>382</v>
      </c>
      <c r="F730" s="35">
        <v>0</v>
      </c>
    </row>
    <row r="731" spans="1:6" s="4" customFormat="1" ht="12">
      <c r="A731" s="102">
        <v>140414</v>
      </c>
      <c r="B731" s="93" t="s">
        <v>250</v>
      </c>
      <c r="C731" s="103" t="s">
        <v>3404</v>
      </c>
      <c r="D731" s="105" t="s">
        <v>3405</v>
      </c>
      <c r="E731" s="95">
        <v>162</v>
      </c>
      <c r="F731" s="35">
        <v>0</v>
      </c>
    </row>
    <row r="732" spans="1:6" s="4" customFormat="1" ht="12">
      <c r="A732" s="102">
        <v>140414</v>
      </c>
      <c r="B732" s="93" t="s">
        <v>250</v>
      </c>
      <c r="C732" s="103">
        <v>216115861</v>
      </c>
      <c r="D732" s="105" t="s">
        <v>3406</v>
      </c>
      <c r="E732" s="95">
        <v>352</v>
      </c>
      <c r="F732" s="35">
        <v>0</v>
      </c>
    </row>
    <row r="733" spans="1:6" s="4" customFormat="1" ht="12">
      <c r="A733" s="102">
        <v>140414</v>
      </c>
      <c r="B733" s="93" t="s">
        <v>250</v>
      </c>
      <c r="C733" s="106" t="s">
        <v>3407</v>
      </c>
      <c r="D733" s="105" t="s">
        <v>3408</v>
      </c>
      <c r="E733" s="95">
        <v>150</v>
      </c>
      <c r="F733" s="35">
        <v>0</v>
      </c>
    </row>
    <row r="734" spans="1:6" s="4" customFormat="1" ht="12">
      <c r="A734" s="102">
        <v>140414</v>
      </c>
      <c r="B734" s="93" t="s">
        <v>250</v>
      </c>
      <c r="C734" s="103">
        <v>216376863</v>
      </c>
      <c r="D734" s="105" t="s">
        <v>3409</v>
      </c>
      <c r="E734" s="95">
        <v>400</v>
      </c>
      <c r="F734" s="35">
        <v>0</v>
      </c>
    </row>
    <row r="735" spans="1:6" s="4" customFormat="1" ht="12">
      <c r="A735" s="102">
        <v>140414</v>
      </c>
      <c r="B735" s="93" t="s">
        <v>250</v>
      </c>
      <c r="C735" s="103" t="s">
        <v>3410</v>
      </c>
      <c r="D735" s="105" t="s">
        <v>3411</v>
      </c>
      <c r="E735" s="95">
        <v>82</v>
      </c>
      <c r="F735" s="35">
        <v>0</v>
      </c>
    </row>
    <row r="736" spans="1:6" s="4" customFormat="1" ht="12">
      <c r="A736" s="102">
        <v>140414</v>
      </c>
      <c r="B736" s="93" t="s">
        <v>250</v>
      </c>
      <c r="C736" s="106" t="s">
        <v>3412</v>
      </c>
      <c r="D736" s="105" t="s">
        <v>3413</v>
      </c>
      <c r="E736" s="95">
        <v>122</v>
      </c>
      <c r="F736" s="35">
        <v>0</v>
      </c>
    </row>
    <row r="737" spans="1:6" s="4" customFormat="1" ht="12">
      <c r="A737" s="102">
        <v>140414</v>
      </c>
      <c r="B737" s="93" t="s">
        <v>250</v>
      </c>
      <c r="C737" s="103">
        <v>216717867</v>
      </c>
      <c r="D737" s="105" t="s">
        <v>3414</v>
      </c>
      <c r="E737" s="95">
        <v>280</v>
      </c>
      <c r="F737" s="35">
        <v>0</v>
      </c>
    </row>
    <row r="738" spans="1:6" s="4" customFormat="1" ht="12">
      <c r="A738" s="102">
        <v>140414</v>
      </c>
      <c r="B738" s="93" t="s">
        <v>250</v>
      </c>
      <c r="C738" s="103" t="s">
        <v>3415</v>
      </c>
      <c r="D738" s="105" t="s">
        <v>3416</v>
      </c>
      <c r="E738" s="95">
        <v>237</v>
      </c>
      <c r="F738" s="35">
        <v>0</v>
      </c>
    </row>
    <row r="739" spans="1:6" s="4" customFormat="1" ht="12">
      <c r="A739" s="102">
        <v>140414</v>
      </c>
      <c r="B739" s="93" t="s">
        <v>250</v>
      </c>
      <c r="C739" s="103">
        <v>216976869</v>
      </c>
      <c r="D739" s="105" t="s">
        <v>3417</v>
      </c>
      <c r="E739" s="95">
        <v>125</v>
      </c>
      <c r="F739" s="35">
        <v>0</v>
      </c>
    </row>
    <row r="740" spans="1:6" s="4" customFormat="1" ht="12">
      <c r="A740" s="102">
        <v>140414</v>
      </c>
      <c r="B740" s="93" t="s">
        <v>250</v>
      </c>
      <c r="C740" s="103" t="s">
        <v>3418</v>
      </c>
      <c r="D740" s="105" t="s">
        <v>3419</v>
      </c>
      <c r="E740" s="95">
        <v>342</v>
      </c>
      <c r="F740" s="35">
        <v>0</v>
      </c>
    </row>
    <row r="741" spans="1:6" s="4" customFormat="1" ht="12">
      <c r="A741" s="102">
        <v>140414</v>
      </c>
      <c r="B741" s="93" t="s">
        <v>250</v>
      </c>
      <c r="C741" s="106" t="s">
        <v>3420</v>
      </c>
      <c r="D741" s="105" t="s">
        <v>3421</v>
      </c>
      <c r="E741" s="95">
        <v>564</v>
      </c>
      <c r="F741" s="35">
        <v>0</v>
      </c>
    </row>
    <row r="742" spans="1:6" s="4" customFormat="1" ht="12">
      <c r="A742" s="102">
        <v>140414</v>
      </c>
      <c r="B742" s="93" t="s">
        <v>250</v>
      </c>
      <c r="C742" s="106">
        <v>217454874</v>
      </c>
      <c r="D742" s="105" t="s">
        <v>3422</v>
      </c>
      <c r="E742" s="95">
        <v>573</v>
      </c>
      <c r="F742" s="35">
        <v>0</v>
      </c>
    </row>
    <row r="743" spans="1:6" s="4" customFormat="1" ht="12">
      <c r="A743" s="102">
        <v>140414</v>
      </c>
      <c r="B743" s="93" t="s">
        <v>250</v>
      </c>
      <c r="C743" s="106">
        <v>214519845</v>
      </c>
      <c r="D743" s="105" t="s">
        <v>3423</v>
      </c>
      <c r="E743" s="95">
        <v>337</v>
      </c>
      <c r="F743" s="35">
        <v>0</v>
      </c>
    </row>
    <row r="744" spans="1:6" s="4" customFormat="1" ht="12">
      <c r="A744" s="102">
        <v>140414</v>
      </c>
      <c r="B744" s="93" t="s">
        <v>250</v>
      </c>
      <c r="C744" s="106">
        <v>218586885</v>
      </c>
      <c r="D744" s="105" t="s">
        <v>1004</v>
      </c>
      <c r="E744" s="95">
        <v>198</v>
      </c>
      <c r="F744" s="35">
        <v>0</v>
      </c>
    </row>
    <row r="745" spans="1:6" s="4" customFormat="1" ht="12">
      <c r="A745" s="102">
        <v>140414</v>
      </c>
      <c r="B745" s="93" t="s">
        <v>250</v>
      </c>
      <c r="C745" s="106" t="s">
        <v>1005</v>
      </c>
      <c r="D745" s="105" t="s">
        <v>1006</v>
      </c>
      <c r="E745" s="95">
        <v>52</v>
      </c>
      <c r="F745" s="35">
        <v>0</v>
      </c>
    </row>
    <row r="746" spans="1:6" s="4" customFormat="1" ht="12">
      <c r="A746" s="102">
        <v>140414</v>
      </c>
      <c r="B746" s="93" t="s">
        <v>250</v>
      </c>
      <c r="C746" s="103">
        <v>217073870</v>
      </c>
      <c r="D746" s="105" t="s">
        <v>1007</v>
      </c>
      <c r="E746" s="95">
        <v>117</v>
      </c>
      <c r="F746" s="35">
        <v>0</v>
      </c>
    </row>
    <row r="747" spans="1:6" s="4" customFormat="1" ht="12">
      <c r="A747" s="102">
        <v>140414</v>
      </c>
      <c r="B747" s="93" t="s">
        <v>250</v>
      </c>
      <c r="C747" s="103">
        <v>217317873</v>
      </c>
      <c r="D747" s="105" t="s">
        <v>1008</v>
      </c>
      <c r="E747" s="95">
        <v>490</v>
      </c>
      <c r="F747" s="35">
        <v>0</v>
      </c>
    </row>
    <row r="748" spans="1:6" s="4" customFormat="1" ht="12">
      <c r="A748" s="102">
        <v>140414</v>
      </c>
      <c r="B748" s="93" t="s">
        <v>250</v>
      </c>
      <c r="C748" s="103">
        <v>214085440</v>
      </c>
      <c r="D748" s="105" t="s">
        <v>1009</v>
      </c>
      <c r="E748" s="95">
        <v>570</v>
      </c>
      <c r="F748" s="35">
        <v>0</v>
      </c>
    </row>
    <row r="749" spans="1:6" s="4" customFormat="1" ht="12">
      <c r="A749" s="102">
        <v>140414</v>
      </c>
      <c r="B749" s="93" t="s">
        <v>250</v>
      </c>
      <c r="C749" s="103" t="s">
        <v>1010</v>
      </c>
      <c r="D749" s="105" t="s">
        <v>1011</v>
      </c>
      <c r="E749" s="95">
        <v>318</v>
      </c>
      <c r="F749" s="35">
        <v>0</v>
      </c>
    </row>
    <row r="750" spans="1:6" s="4" customFormat="1" ht="12">
      <c r="A750" s="102">
        <v>140414</v>
      </c>
      <c r="B750" s="93" t="s">
        <v>250</v>
      </c>
      <c r="C750" s="103" t="s">
        <v>1012</v>
      </c>
      <c r="D750" s="105" t="s">
        <v>1013</v>
      </c>
      <c r="E750" s="95">
        <v>358</v>
      </c>
      <c r="F750" s="35">
        <v>0</v>
      </c>
    </row>
    <row r="751" spans="1:6" s="4" customFormat="1" ht="12">
      <c r="A751" s="102">
        <v>140414</v>
      </c>
      <c r="B751" s="93" t="s">
        <v>250</v>
      </c>
      <c r="C751" s="106">
        <v>217373873</v>
      </c>
      <c r="D751" s="105" t="s">
        <v>1014</v>
      </c>
      <c r="E751" s="95">
        <v>402</v>
      </c>
      <c r="F751" s="35">
        <v>0</v>
      </c>
    </row>
    <row r="752" spans="1:6" s="4" customFormat="1" ht="12">
      <c r="A752" s="102">
        <v>140414</v>
      </c>
      <c r="B752" s="93" t="s">
        <v>250</v>
      </c>
      <c r="C752" s="103">
        <v>210150001</v>
      </c>
      <c r="D752" s="105" t="s">
        <v>1015</v>
      </c>
      <c r="E752" s="95">
        <v>16498</v>
      </c>
      <c r="F752" s="35">
        <v>0</v>
      </c>
    </row>
    <row r="753" spans="1:6" s="4" customFormat="1" ht="12">
      <c r="A753" s="102">
        <v>140414</v>
      </c>
      <c r="B753" s="93" t="s">
        <v>250</v>
      </c>
      <c r="C753" s="103" t="s">
        <v>1016</v>
      </c>
      <c r="D753" s="105" t="s">
        <v>1017</v>
      </c>
      <c r="E753" s="95">
        <v>120</v>
      </c>
      <c r="F753" s="35">
        <v>0</v>
      </c>
    </row>
    <row r="754" spans="1:6" s="4" customFormat="1" ht="12">
      <c r="A754" s="102">
        <v>140414</v>
      </c>
      <c r="B754" s="93" t="s">
        <v>250</v>
      </c>
      <c r="C754" s="106" t="s">
        <v>1018</v>
      </c>
      <c r="D754" s="105" t="s">
        <v>1019</v>
      </c>
      <c r="E754" s="95">
        <v>520</v>
      </c>
      <c r="F754" s="35">
        <v>0</v>
      </c>
    </row>
    <row r="755" spans="1:6" s="4" customFormat="1" ht="12">
      <c r="A755" s="102">
        <v>140414</v>
      </c>
      <c r="B755" s="93" t="s">
        <v>250</v>
      </c>
      <c r="C755" s="106" t="s">
        <v>1020</v>
      </c>
      <c r="D755" s="105" t="s">
        <v>1021</v>
      </c>
      <c r="E755" s="95">
        <v>292</v>
      </c>
      <c r="F755" s="35">
        <v>0</v>
      </c>
    </row>
    <row r="756" spans="1:6" s="4" customFormat="1" ht="12">
      <c r="A756" s="102">
        <v>140414</v>
      </c>
      <c r="B756" s="93" t="s">
        <v>250</v>
      </c>
      <c r="C756" s="103">
        <v>217915879</v>
      </c>
      <c r="D756" s="105" t="s">
        <v>1022</v>
      </c>
      <c r="E756" s="95">
        <v>118</v>
      </c>
      <c r="F756" s="35">
        <v>0</v>
      </c>
    </row>
    <row r="757" spans="1:6" s="4" customFormat="1" ht="12">
      <c r="A757" s="102">
        <v>140414</v>
      </c>
      <c r="B757" s="93" t="s">
        <v>250</v>
      </c>
      <c r="C757" s="103">
        <v>211150711</v>
      </c>
      <c r="D757" s="105" t="s">
        <v>1023</v>
      </c>
      <c r="E757" s="95">
        <v>294</v>
      </c>
      <c r="F757" s="35">
        <v>0</v>
      </c>
    </row>
    <row r="758" spans="1:6" s="4" customFormat="1" ht="12">
      <c r="A758" s="102">
        <v>140414</v>
      </c>
      <c r="B758" s="93" t="s">
        <v>250</v>
      </c>
      <c r="C758" s="103">
        <v>217717877</v>
      </c>
      <c r="D758" s="105" t="s">
        <v>1024</v>
      </c>
      <c r="E758" s="95">
        <v>381</v>
      </c>
      <c r="F758" s="35">
        <v>0</v>
      </c>
    </row>
    <row r="759" spans="1:6" s="4" customFormat="1" ht="12">
      <c r="A759" s="102">
        <v>140414</v>
      </c>
      <c r="B759" s="93" t="s">
        <v>250</v>
      </c>
      <c r="C759" s="106" t="s">
        <v>1025</v>
      </c>
      <c r="D759" s="105" t="s">
        <v>1026</v>
      </c>
      <c r="E759" s="95">
        <v>236</v>
      </c>
      <c r="F759" s="35">
        <v>0</v>
      </c>
    </row>
    <row r="760" spans="1:6" s="4" customFormat="1" ht="12">
      <c r="A760" s="102">
        <v>140414</v>
      </c>
      <c r="B760" s="93" t="s">
        <v>250</v>
      </c>
      <c r="C760" s="103">
        <v>218552885</v>
      </c>
      <c r="D760" s="105" t="s">
        <v>1027</v>
      </c>
      <c r="E760" s="95">
        <v>265</v>
      </c>
      <c r="F760" s="35">
        <v>0</v>
      </c>
    </row>
    <row r="761" spans="1:6" s="4" customFormat="1" ht="12">
      <c r="A761" s="102">
        <v>140414</v>
      </c>
      <c r="B761" s="93" t="s">
        <v>250</v>
      </c>
      <c r="C761" s="103" t="s">
        <v>1028</v>
      </c>
      <c r="D761" s="105" t="s">
        <v>1029</v>
      </c>
      <c r="E761" s="95">
        <v>258</v>
      </c>
      <c r="F761" s="35">
        <v>0</v>
      </c>
    </row>
    <row r="762" spans="1:6" s="4" customFormat="1" ht="12">
      <c r="A762" s="102">
        <v>140414</v>
      </c>
      <c r="B762" s="93" t="s">
        <v>250</v>
      </c>
      <c r="C762" s="103" t="s">
        <v>1030</v>
      </c>
      <c r="D762" s="105" t="s">
        <v>1031</v>
      </c>
      <c r="E762" s="95">
        <v>190</v>
      </c>
      <c r="F762" s="35">
        <v>0</v>
      </c>
    </row>
    <row r="763" spans="1:6" s="4" customFormat="1" ht="12">
      <c r="A763" s="102">
        <v>140414</v>
      </c>
      <c r="B763" s="93" t="s">
        <v>250</v>
      </c>
      <c r="C763" s="103" t="s">
        <v>1032</v>
      </c>
      <c r="D763" s="105" t="s">
        <v>1033</v>
      </c>
      <c r="E763" s="95">
        <v>264</v>
      </c>
      <c r="F763" s="35">
        <v>0</v>
      </c>
    </row>
    <row r="764" spans="1:6" s="4" customFormat="1" ht="12">
      <c r="A764" s="102">
        <v>140414</v>
      </c>
      <c r="B764" s="93" t="s">
        <v>250</v>
      </c>
      <c r="C764" s="103">
        <v>210185001</v>
      </c>
      <c r="D764" s="105" t="s">
        <v>1034</v>
      </c>
      <c r="E764" s="95">
        <v>2646</v>
      </c>
      <c r="F764" s="35">
        <v>0</v>
      </c>
    </row>
    <row r="765" spans="1:6" s="4" customFormat="1" ht="12">
      <c r="A765" s="102">
        <v>140414</v>
      </c>
      <c r="B765" s="93" t="s">
        <v>250</v>
      </c>
      <c r="C765" s="103">
        <v>219076890</v>
      </c>
      <c r="D765" s="105" t="s">
        <v>1035</v>
      </c>
      <c r="E765" s="95">
        <v>279</v>
      </c>
      <c r="F765" s="35">
        <v>0</v>
      </c>
    </row>
    <row r="766" spans="1:6" s="4" customFormat="1" ht="12">
      <c r="A766" s="102">
        <v>140414</v>
      </c>
      <c r="B766" s="93" t="s">
        <v>250</v>
      </c>
      <c r="C766" s="103">
        <v>219276892</v>
      </c>
      <c r="D766" s="105" t="s">
        <v>1036</v>
      </c>
      <c r="E766" s="95">
        <v>6135</v>
      </c>
      <c r="F766" s="35">
        <v>0</v>
      </c>
    </row>
    <row r="767" spans="1:6" s="4" customFormat="1" ht="12">
      <c r="A767" s="102">
        <v>140414</v>
      </c>
      <c r="B767" s="93" t="s">
        <v>250</v>
      </c>
      <c r="C767" s="103" t="s">
        <v>1037</v>
      </c>
      <c r="D767" s="105" t="s">
        <v>1038</v>
      </c>
      <c r="E767" s="95">
        <v>51</v>
      </c>
      <c r="F767" s="35">
        <v>0</v>
      </c>
    </row>
    <row r="768" spans="1:6" s="4" customFormat="1" ht="12">
      <c r="A768" s="102">
        <v>140414</v>
      </c>
      <c r="B768" s="93" t="s">
        <v>250</v>
      </c>
      <c r="C768" s="103">
        <v>219576895</v>
      </c>
      <c r="D768" s="105" t="s">
        <v>1039</v>
      </c>
      <c r="E768" s="95">
        <v>31</v>
      </c>
      <c r="F768" s="35">
        <v>0</v>
      </c>
    </row>
    <row r="769" spans="1:6" s="4" customFormat="1" ht="12">
      <c r="A769" s="102">
        <v>140414</v>
      </c>
      <c r="B769" s="93" t="s">
        <v>250</v>
      </c>
      <c r="C769" s="103">
        <v>219715897</v>
      </c>
      <c r="D769" s="105" t="s">
        <v>1040</v>
      </c>
      <c r="E769" s="95">
        <v>170</v>
      </c>
      <c r="F769" s="35">
        <v>0</v>
      </c>
    </row>
    <row r="770" spans="1:6" s="4" customFormat="1" ht="12">
      <c r="A770" s="102">
        <v>140414</v>
      </c>
      <c r="B770" s="93" t="s">
        <v>250</v>
      </c>
      <c r="C770" s="106" t="s">
        <v>1041</v>
      </c>
      <c r="D770" s="105" t="s">
        <v>1042</v>
      </c>
      <c r="E770" s="95">
        <v>66</v>
      </c>
      <c r="F770" s="35">
        <v>0</v>
      </c>
    </row>
    <row r="771" spans="1:6" s="4" customFormat="1" ht="12">
      <c r="A771" s="102">
        <v>140414</v>
      </c>
      <c r="B771" s="93" t="s">
        <v>250</v>
      </c>
      <c r="C771" s="103">
        <v>218047980</v>
      </c>
      <c r="D771" s="105" t="s">
        <v>1043</v>
      </c>
      <c r="E771" s="95">
        <v>434</v>
      </c>
      <c r="F771" s="35">
        <v>0</v>
      </c>
    </row>
    <row r="772" spans="1:6" s="4" customFormat="1" ht="12">
      <c r="A772" s="102">
        <v>140414</v>
      </c>
      <c r="B772" s="93" t="s">
        <v>250</v>
      </c>
      <c r="C772" s="108" t="s">
        <v>1044</v>
      </c>
      <c r="D772" s="105" t="s">
        <v>1045</v>
      </c>
      <c r="E772" s="95">
        <v>266</v>
      </c>
      <c r="F772" s="35">
        <v>0</v>
      </c>
    </row>
    <row r="773" spans="1:6" s="4" customFormat="1" ht="12">
      <c r="A773" s="102">
        <v>140414</v>
      </c>
      <c r="B773" s="93" t="s">
        <v>250</v>
      </c>
      <c r="C773" s="108" t="s">
        <v>1046</v>
      </c>
      <c r="D773" s="105" t="s">
        <v>1047</v>
      </c>
      <c r="E773" s="95">
        <v>886</v>
      </c>
      <c r="F773" s="35">
        <v>0</v>
      </c>
    </row>
    <row r="774" spans="1:6" s="4" customFormat="1" ht="12">
      <c r="A774" s="102">
        <v>140414</v>
      </c>
      <c r="B774" s="93" t="s">
        <v>250</v>
      </c>
      <c r="C774" s="108" t="s">
        <v>1048</v>
      </c>
      <c r="D774" s="105" t="s">
        <v>1049</v>
      </c>
      <c r="E774" s="95">
        <v>783</v>
      </c>
      <c r="F774" s="35">
        <v>0</v>
      </c>
    </row>
    <row r="775" spans="1:6" s="4" customFormat="1" ht="12">
      <c r="A775" s="102">
        <v>140414</v>
      </c>
      <c r="B775" s="93" t="s">
        <v>250</v>
      </c>
      <c r="C775" s="108" t="s">
        <v>1050</v>
      </c>
      <c r="D775" s="105" t="s">
        <v>1051</v>
      </c>
      <c r="E775" s="95">
        <v>152</v>
      </c>
      <c r="F775" s="35">
        <v>0</v>
      </c>
    </row>
    <row r="776" spans="1:6" s="4" customFormat="1" ht="12">
      <c r="A776" s="102">
        <v>140414</v>
      </c>
      <c r="B776" s="93" t="s">
        <v>250</v>
      </c>
      <c r="C776" s="108" t="s">
        <v>1052</v>
      </c>
      <c r="D776" s="105" t="s">
        <v>1053</v>
      </c>
      <c r="E776" s="95">
        <v>785</v>
      </c>
      <c r="F776" s="35">
        <v>0</v>
      </c>
    </row>
    <row r="777" spans="1:6" s="4" customFormat="1" ht="12">
      <c r="A777" s="102">
        <v>140414</v>
      </c>
      <c r="B777" s="93" t="s">
        <v>250</v>
      </c>
      <c r="C777" s="108" t="s">
        <v>1054</v>
      </c>
      <c r="D777" s="105" t="s">
        <v>1055</v>
      </c>
      <c r="E777" s="95">
        <v>671</v>
      </c>
      <c r="F777" s="35">
        <v>0</v>
      </c>
    </row>
    <row r="778" spans="1:6" s="4" customFormat="1" ht="12">
      <c r="A778" s="102">
        <v>140414</v>
      </c>
      <c r="B778" s="93" t="s">
        <v>250</v>
      </c>
      <c r="C778" s="108" t="s">
        <v>1056</v>
      </c>
      <c r="D778" s="105" t="s">
        <v>1057</v>
      </c>
      <c r="E778" s="95">
        <v>280</v>
      </c>
      <c r="F778" s="35">
        <v>0</v>
      </c>
    </row>
    <row r="779" spans="1:6" s="4" customFormat="1" ht="12">
      <c r="A779" s="102">
        <v>140414</v>
      </c>
      <c r="B779" s="93" t="s">
        <v>250</v>
      </c>
      <c r="C779" s="108">
        <v>215805658</v>
      </c>
      <c r="D779" s="105" t="s">
        <v>1058</v>
      </c>
      <c r="E779" s="95">
        <v>238</v>
      </c>
      <c r="F779" s="35">
        <v>0</v>
      </c>
    </row>
    <row r="780" spans="1:6" s="4" customFormat="1" ht="12">
      <c r="A780" s="102">
        <v>140414</v>
      </c>
      <c r="B780" s="93" t="s">
        <v>250</v>
      </c>
      <c r="C780" s="108" t="s">
        <v>1059</v>
      </c>
      <c r="D780" s="105" t="s">
        <v>1060</v>
      </c>
      <c r="E780" s="95">
        <v>8</v>
      </c>
      <c r="F780" s="35">
        <v>0</v>
      </c>
    </row>
    <row r="781" spans="1:6" s="4" customFormat="1" ht="12">
      <c r="A781" s="96"/>
      <c r="B781" s="97"/>
      <c r="C781" s="98"/>
      <c r="D781" s="97"/>
      <c r="E781" s="99"/>
      <c r="F781" s="100"/>
    </row>
    <row r="782" spans="1:6" s="4" customFormat="1" ht="12">
      <c r="A782" s="101">
        <v>142003</v>
      </c>
      <c r="B782" s="90" t="s">
        <v>1061</v>
      </c>
      <c r="C782" s="108"/>
      <c r="D782" s="109"/>
      <c r="E782" s="91">
        <f>+SUM(E783:E795)</f>
        <v>1993734</v>
      </c>
      <c r="F782" s="35"/>
    </row>
    <row r="783" spans="1:6" s="4" customFormat="1" ht="12">
      <c r="A783" s="102">
        <v>142003</v>
      </c>
      <c r="B783" s="93" t="s">
        <v>1061</v>
      </c>
      <c r="C783" s="103">
        <v>120205000</v>
      </c>
      <c r="D783" s="109" t="s">
        <v>1062</v>
      </c>
      <c r="E783" s="95">
        <v>40000</v>
      </c>
      <c r="F783" s="35">
        <v>0</v>
      </c>
    </row>
    <row r="784" spans="1:6" s="4" customFormat="1" ht="12">
      <c r="A784" s="102">
        <v>142003</v>
      </c>
      <c r="B784" s="93" t="s">
        <v>1061</v>
      </c>
      <c r="C784" s="110" t="s">
        <v>1063</v>
      </c>
      <c r="D784" s="111" t="s">
        <v>1064</v>
      </c>
      <c r="E784" s="95">
        <v>21000</v>
      </c>
      <c r="F784" s="35">
        <v>0</v>
      </c>
    </row>
    <row r="785" spans="1:6" s="4" customFormat="1" ht="12">
      <c r="A785" s="102">
        <v>142003</v>
      </c>
      <c r="B785" s="93" t="s">
        <v>1061</v>
      </c>
      <c r="C785" s="112" t="s">
        <v>1065</v>
      </c>
      <c r="D785" s="111" t="s">
        <v>1066</v>
      </c>
      <c r="E785" s="95">
        <v>565870</v>
      </c>
      <c r="F785" s="35">
        <v>0</v>
      </c>
    </row>
    <row r="786" spans="1:6" s="4" customFormat="1" ht="12">
      <c r="A786" s="102">
        <v>142003</v>
      </c>
      <c r="B786" s="93" t="s">
        <v>1061</v>
      </c>
      <c r="C786" s="112" t="s">
        <v>1067</v>
      </c>
      <c r="D786" s="111" t="s">
        <v>1068</v>
      </c>
      <c r="E786" s="95">
        <v>115000</v>
      </c>
      <c r="F786" s="35">
        <v>0</v>
      </c>
    </row>
    <row r="787" spans="1:6" s="4" customFormat="1" ht="12">
      <c r="A787" s="102">
        <v>142003</v>
      </c>
      <c r="B787" s="93" t="s">
        <v>1061</v>
      </c>
      <c r="C787" s="103">
        <v>125454000</v>
      </c>
      <c r="D787" s="111" t="s">
        <v>1069</v>
      </c>
      <c r="E787" s="95">
        <v>263500</v>
      </c>
      <c r="F787" s="35">
        <v>0</v>
      </c>
    </row>
    <row r="788" spans="1:6" s="4" customFormat="1" ht="12">
      <c r="A788" s="102">
        <v>142003</v>
      </c>
      <c r="B788" s="93" t="s">
        <v>1061</v>
      </c>
      <c r="C788" s="103">
        <v>121647000</v>
      </c>
      <c r="D788" s="111" t="s">
        <v>1070</v>
      </c>
      <c r="E788" s="95">
        <v>75000</v>
      </c>
      <c r="F788" s="35">
        <v>0</v>
      </c>
    </row>
    <row r="789" spans="1:6" s="4" customFormat="1" ht="12">
      <c r="A789" s="102">
        <v>142003</v>
      </c>
      <c r="B789" s="93" t="s">
        <v>1061</v>
      </c>
      <c r="C789" s="103">
        <v>125354000</v>
      </c>
      <c r="D789" s="111" t="s">
        <v>1071</v>
      </c>
      <c r="E789" s="95">
        <v>75000</v>
      </c>
      <c r="F789" s="35">
        <v>0</v>
      </c>
    </row>
    <row r="790" spans="1:6" s="4" customFormat="1" ht="12">
      <c r="A790" s="102">
        <v>142003</v>
      </c>
      <c r="B790" s="93" t="s">
        <v>1061</v>
      </c>
      <c r="C790" s="103">
        <v>128870000</v>
      </c>
      <c r="D790" s="111" t="s">
        <v>1072</v>
      </c>
      <c r="E790" s="95">
        <v>55000</v>
      </c>
      <c r="F790" s="35">
        <v>0</v>
      </c>
    </row>
    <row r="791" spans="1:6" s="4" customFormat="1" ht="12">
      <c r="A791" s="102">
        <v>142003</v>
      </c>
      <c r="B791" s="93" t="s">
        <v>1061</v>
      </c>
      <c r="C791" s="107" t="s">
        <v>1073</v>
      </c>
      <c r="D791" s="109" t="s">
        <v>1074</v>
      </c>
      <c r="E791" s="95">
        <v>79544</v>
      </c>
      <c r="F791" s="35">
        <v>0</v>
      </c>
    </row>
    <row r="792" spans="1:6" s="4" customFormat="1" ht="12">
      <c r="A792" s="102">
        <v>142003</v>
      </c>
      <c r="B792" s="93" t="s">
        <v>1061</v>
      </c>
      <c r="C792" s="107" t="s">
        <v>1075</v>
      </c>
      <c r="D792" s="109" t="s">
        <v>1076</v>
      </c>
      <c r="E792" s="95">
        <v>75000</v>
      </c>
      <c r="F792" s="35">
        <v>0</v>
      </c>
    </row>
    <row r="793" spans="1:6" s="4" customFormat="1" ht="12">
      <c r="A793" s="102">
        <v>142003</v>
      </c>
      <c r="B793" s="93" t="s">
        <v>1061</v>
      </c>
      <c r="C793" s="103">
        <v>222711001</v>
      </c>
      <c r="D793" s="109" t="s">
        <v>1077</v>
      </c>
      <c r="E793" s="95">
        <v>12500</v>
      </c>
      <c r="F793" s="35">
        <v>0</v>
      </c>
    </row>
    <row r="794" spans="1:6" s="4" customFormat="1" ht="12">
      <c r="A794" s="102">
        <v>142003</v>
      </c>
      <c r="B794" s="93" t="s">
        <v>1061</v>
      </c>
      <c r="C794" s="103">
        <v>120676000</v>
      </c>
      <c r="D794" s="109" t="s">
        <v>1078</v>
      </c>
      <c r="E794" s="95">
        <v>140</v>
      </c>
      <c r="F794" s="35">
        <v>0</v>
      </c>
    </row>
    <row r="795" spans="1:6" s="4" customFormat="1" ht="12">
      <c r="A795" s="102">
        <v>142003</v>
      </c>
      <c r="B795" s="93" t="s">
        <v>1061</v>
      </c>
      <c r="C795" s="103">
        <v>822000000</v>
      </c>
      <c r="D795" s="109" t="s">
        <v>1079</v>
      </c>
      <c r="E795" s="95">
        <v>616180</v>
      </c>
      <c r="F795" s="35">
        <v>0</v>
      </c>
    </row>
    <row r="796" spans="1:6" s="4" customFormat="1" ht="12">
      <c r="A796" s="96"/>
      <c r="B796" s="97"/>
      <c r="C796" s="98"/>
      <c r="D796" s="97"/>
      <c r="E796" s="99"/>
      <c r="F796" s="100"/>
    </row>
    <row r="797" spans="1:6" s="4" customFormat="1" ht="12">
      <c r="A797" s="101">
        <v>142504</v>
      </c>
      <c r="B797" s="90" t="s">
        <v>1061</v>
      </c>
      <c r="C797" s="103"/>
      <c r="D797" s="109"/>
      <c r="E797" s="91">
        <f>+E798</f>
        <v>54475465</v>
      </c>
      <c r="F797" s="35"/>
    </row>
    <row r="798" spans="1:6" s="4" customFormat="1" ht="12">
      <c r="A798" s="102">
        <v>142504</v>
      </c>
      <c r="B798" s="93" t="s">
        <v>1061</v>
      </c>
      <c r="C798" s="103">
        <v>41500000</v>
      </c>
      <c r="D798" s="109" t="s">
        <v>1080</v>
      </c>
      <c r="E798" s="95">
        <v>54475465</v>
      </c>
      <c r="F798" s="35">
        <v>0</v>
      </c>
    </row>
    <row r="799" spans="1:6" s="4" customFormat="1" ht="12">
      <c r="A799" s="96"/>
      <c r="B799" s="97"/>
      <c r="C799" s="98"/>
      <c r="D799" s="97"/>
      <c r="E799" s="99"/>
      <c r="F799" s="100"/>
    </row>
    <row r="800" spans="1:6" s="4" customFormat="1" ht="12">
      <c r="A800" s="113">
        <v>224625</v>
      </c>
      <c r="B800" s="114" t="s">
        <v>1081</v>
      </c>
      <c r="C800" s="103"/>
      <c r="D800" s="109"/>
      <c r="E800" s="91">
        <f>+E801</f>
        <v>16600966</v>
      </c>
      <c r="F800" s="35"/>
    </row>
    <row r="801" spans="1:6" s="4" customFormat="1" ht="12">
      <c r="A801" s="106">
        <v>224625</v>
      </c>
      <c r="B801" s="111" t="s">
        <v>1081</v>
      </c>
      <c r="C801" s="110">
        <v>11500000</v>
      </c>
      <c r="D801" s="115" t="s">
        <v>1082</v>
      </c>
      <c r="E801" s="95">
        <v>16600966</v>
      </c>
      <c r="F801" s="35">
        <v>0</v>
      </c>
    </row>
    <row r="802" spans="1:6" s="4" customFormat="1" ht="12">
      <c r="A802" s="96"/>
      <c r="B802" s="97"/>
      <c r="C802" s="98"/>
      <c r="D802" s="97"/>
      <c r="E802" s="99"/>
      <c r="F802" s="100"/>
    </row>
    <row r="803" spans="1:6" s="4" customFormat="1" ht="12">
      <c r="A803" s="113">
        <v>240304</v>
      </c>
      <c r="B803" s="114" t="s">
        <v>1083</v>
      </c>
      <c r="C803" s="110"/>
      <c r="D803" s="115"/>
      <c r="E803" s="91">
        <f>+E804</f>
        <v>802337</v>
      </c>
      <c r="F803" s="35"/>
    </row>
    <row r="804" spans="1:6" s="4" customFormat="1" ht="12">
      <c r="A804" s="106">
        <v>240304</v>
      </c>
      <c r="B804" s="111" t="s">
        <v>1083</v>
      </c>
      <c r="C804" s="110" t="s">
        <v>1084</v>
      </c>
      <c r="D804" s="115" t="s">
        <v>1085</v>
      </c>
      <c r="E804" s="95">
        <v>802337</v>
      </c>
      <c r="F804" s="35">
        <v>0</v>
      </c>
    </row>
    <row r="805" spans="1:6" s="4" customFormat="1" ht="12">
      <c r="A805" s="96"/>
      <c r="B805" s="97"/>
      <c r="C805" s="98"/>
      <c r="D805" s="97"/>
      <c r="E805" s="99"/>
      <c r="F805" s="100"/>
    </row>
    <row r="806" spans="1:6" s="4" customFormat="1" ht="12">
      <c r="A806" s="87">
        <v>240314</v>
      </c>
      <c r="B806" s="116" t="s">
        <v>1086</v>
      </c>
      <c r="C806" s="110"/>
      <c r="D806" s="115"/>
      <c r="E806" s="91">
        <f>+SUM(E807:E1935)</f>
        <v>767593276</v>
      </c>
      <c r="F806" s="35"/>
    </row>
    <row r="807" spans="1:6" s="4" customFormat="1" ht="12">
      <c r="A807" s="94">
        <v>240314</v>
      </c>
      <c r="B807" s="117" t="s">
        <v>1086</v>
      </c>
      <c r="C807" s="118">
        <v>110505000</v>
      </c>
      <c r="D807" s="93" t="s">
        <v>1087</v>
      </c>
      <c r="E807" s="95">
        <v>44675043</v>
      </c>
      <c r="F807" s="35">
        <v>0</v>
      </c>
    </row>
    <row r="808" spans="1:6" s="4" customFormat="1" ht="12">
      <c r="A808" s="106">
        <v>240314</v>
      </c>
      <c r="B808" s="119" t="s">
        <v>1086</v>
      </c>
      <c r="C808" s="103">
        <v>110808000</v>
      </c>
      <c r="D808" s="111" t="s">
        <v>1088</v>
      </c>
      <c r="E808" s="95">
        <v>10168661</v>
      </c>
      <c r="F808" s="35">
        <v>0</v>
      </c>
    </row>
    <row r="809" spans="1:6" s="4" customFormat="1" ht="12">
      <c r="A809" s="106">
        <v>240314</v>
      </c>
      <c r="B809" s="119" t="s">
        <v>1086</v>
      </c>
      <c r="C809" s="103">
        <v>111313000</v>
      </c>
      <c r="D809" s="111" t="s">
        <v>1089</v>
      </c>
      <c r="E809" s="95">
        <v>19269827</v>
      </c>
      <c r="F809" s="35">
        <v>0</v>
      </c>
    </row>
    <row r="810" spans="1:6" s="4" customFormat="1" ht="12">
      <c r="A810" s="106">
        <v>240314</v>
      </c>
      <c r="B810" s="119" t="s">
        <v>1086</v>
      </c>
      <c r="C810" s="103">
        <v>111515000</v>
      </c>
      <c r="D810" s="111" t="s">
        <v>1090</v>
      </c>
      <c r="E810" s="95">
        <v>22241556</v>
      </c>
      <c r="F810" s="35">
        <v>0</v>
      </c>
    </row>
    <row r="811" spans="1:6" s="4" customFormat="1" ht="12">
      <c r="A811" s="106">
        <v>240314</v>
      </c>
      <c r="B811" s="119" t="s">
        <v>1086</v>
      </c>
      <c r="C811" s="103">
        <v>111717000</v>
      </c>
      <c r="D811" s="111" t="s">
        <v>1091</v>
      </c>
      <c r="E811" s="95">
        <v>11090745</v>
      </c>
      <c r="F811" s="35">
        <v>0</v>
      </c>
    </row>
    <row r="812" spans="1:6" s="4" customFormat="1" ht="12">
      <c r="A812" s="106">
        <v>240314</v>
      </c>
      <c r="B812" s="119" t="s">
        <v>1086</v>
      </c>
      <c r="C812" s="103">
        <v>111818000</v>
      </c>
      <c r="D812" s="111" t="s">
        <v>1092</v>
      </c>
      <c r="E812" s="95">
        <v>5835049</v>
      </c>
      <c r="F812" s="35">
        <v>0</v>
      </c>
    </row>
    <row r="813" spans="1:6" s="4" customFormat="1" ht="12">
      <c r="A813" s="106">
        <v>240314</v>
      </c>
      <c r="B813" s="119" t="s">
        <v>1086</v>
      </c>
      <c r="C813" s="103">
        <v>111919000</v>
      </c>
      <c r="D813" s="111" t="s">
        <v>1093</v>
      </c>
      <c r="E813" s="95">
        <v>19636853</v>
      </c>
      <c r="F813" s="35">
        <v>0</v>
      </c>
    </row>
    <row r="814" spans="1:6" s="4" customFormat="1" ht="12">
      <c r="A814" s="106">
        <v>240314</v>
      </c>
      <c r="B814" s="119" t="s">
        <v>1086</v>
      </c>
      <c r="C814" s="103">
        <v>112020000</v>
      </c>
      <c r="D814" s="111" t="s">
        <v>1094</v>
      </c>
      <c r="E814" s="95">
        <v>11866826</v>
      </c>
      <c r="F814" s="35">
        <v>0</v>
      </c>
    </row>
    <row r="815" spans="1:6" s="4" customFormat="1" ht="12">
      <c r="A815" s="106">
        <v>240314</v>
      </c>
      <c r="B815" s="119" t="s">
        <v>1086</v>
      </c>
      <c r="C815" s="103">
        <v>112727000</v>
      </c>
      <c r="D815" s="111" t="s">
        <v>1095</v>
      </c>
      <c r="E815" s="95">
        <v>12316492</v>
      </c>
      <c r="F815" s="35">
        <v>0</v>
      </c>
    </row>
    <row r="816" spans="1:6" s="4" customFormat="1" ht="12">
      <c r="A816" s="106">
        <v>240314</v>
      </c>
      <c r="B816" s="119" t="s">
        <v>1086</v>
      </c>
      <c r="C816" s="103">
        <v>112323000</v>
      </c>
      <c r="D816" s="111" t="s">
        <v>1096</v>
      </c>
      <c r="E816" s="95">
        <v>18852176</v>
      </c>
      <c r="F816" s="35">
        <v>0</v>
      </c>
    </row>
    <row r="817" spans="1:6" s="4" customFormat="1" ht="12">
      <c r="A817" s="106">
        <v>240314</v>
      </c>
      <c r="B817" s="119" t="s">
        <v>1086</v>
      </c>
      <c r="C817" s="103">
        <v>112525000</v>
      </c>
      <c r="D817" s="111" t="s">
        <v>1097</v>
      </c>
      <c r="E817" s="95">
        <v>29163582</v>
      </c>
      <c r="F817" s="35">
        <v>0</v>
      </c>
    </row>
    <row r="818" spans="1:6" s="4" customFormat="1" ht="12">
      <c r="A818" s="106">
        <v>240314</v>
      </c>
      <c r="B818" s="119" t="s">
        <v>1086</v>
      </c>
      <c r="C818" s="103">
        <v>114141000</v>
      </c>
      <c r="D818" s="111" t="s">
        <v>1098</v>
      </c>
      <c r="E818" s="95">
        <v>12824747</v>
      </c>
      <c r="F818" s="35">
        <v>0</v>
      </c>
    </row>
    <row r="819" spans="1:6" s="4" customFormat="1" ht="12">
      <c r="A819" s="106">
        <v>240314</v>
      </c>
      <c r="B819" s="119" t="s">
        <v>1086</v>
      </c>
      <c r="C819" s="103">
        <v>114444000</v>
      </c>
      <c r="D819" s="111" t="s">
        <v>1099</v>
      </c>
      <c r="E819" s="95">
        <v>10783142</v>
      </c>
      <c r="F819" s="35">
        <v>0</v>
      </c>
    </row>
    <row r="820" spans="1:6" s="4" customFormat="1" ht="12">
      <c r="A820" s="106">
        <v>240314</v>
      </c>
      <c r="B820" s="119" t="s">
        <v>1086</v>
      </c>
      <c r="C820" s="103">
        <v>114747000</v>
      </c>
      <c r="D820" s="111" t="s">
        <v>1100</v>
      </c>
      <c r="E820" s="95">
        <v>14772335</v>
      </c>
      <c r="F820" s="35">
        <v>0</v>
      </c>
    </row>
    <row r="821" spans="1:6" s="4" customFormat="1" ht="12">
      <c r="A821" s="106">
        <v>240314</v>
      </c>
      <c r="B821" s="119" t="s">
        <v>1086</v>
      </c>
      <c r="C821" s="103">
        <v>115050000</v>
      </c>
      <c r="D821" s="111" t="s">
        <v>1101</v>
      </c>
      <c r="E821" s="95">
        <v>7259994</v>
      </c>
      <c r="F821" s="35">
        <v>0</v>
      </c>
    </row>
    <row r="822" spans="1:6" s="4" customFormat="1" ht="12">
      <c r="A822" s="106">
        <v>240314</v>
      </c>
      <c r="B822" s="119" t="s">
        <v>1086</v>
      </c>
      <c r="C822" s="103">
        <v>115252000</v>
      </c>
      <c r="D822" s="111" t="s">
        <v>1102</v>
      </c>
      <c r="E822" s="95">
        <v>19297176</v>
      </c>
      <c r="F822" s="35">
        <v>0</v>
      </c>
    </row>
    <row r="823" spans="1:6" s="4" customFormat="1" ht="12">
      <c r="A823" s="106">
        <v>240314</v>
      </c>
      <c r="B823" s="119" t="s">
        <v>1086</v>
      </c>
      <c r="C823" s="103">
        <v>115454000</v>
      </c>
      <c r="D823" s="111" t="s">
        <v>1103</v>
      </c>
      <c r="E823" s="95">
        <v>14605186</v>
      </c>
      <c r="F823" s="35">
        <v>0</v>
      </c>
    </row>
    <row r="824" spans="1:6" s="4" customFormat="1" ht="12">
      <c r="A824" s="106">
        <v>240314</v>
      </c>
      <c r="B824" s="119" t="s">
        <v>1086</v>
      </c>
      <c r="C824" s="103">
        <v>116363000</v>
      </c>
      <c r="D824" s="111" t="s">
        <v>1104</v>
      </c>
      <c r="E824" s="95">
        <v>4952870</v>
      </c>
      <c r="F824" s="35">
        <v>0</v>
      </c>
    </row>
    <row r="825" spans="1:6" s="4" customFormat="1" ht="12">
      <c r="A825" s="106">
        <v>240314</v>
      </c>
      <c r="B825" s="119" t="s">
        <v>1086</v>
      </c>
      <c r="C825" s="103">
        <v>116666000</v>
      </c>
      <c r="D825" s="111" t="s">
        <v>1105</v>
      </c>
      <c r="E825" s="95">
        <v>5338583</v>
      </c>
      <c r="F825" s="35">
        <v>0</v>
      </c>
    </row>
    <row r="826" spans="1:6" s="4" customFormat="1" ht="12">
      <c r="A826" s="106">
        <v>240314</v>
      </c>
      <c r="B826" s="119" t="s">
        <v>1086</v>
      </c>
      <c r="C826" s="103">
        <v>116868000</v>
      </c>
      <c r="D826" s="111" t="s">
        <v>1106</v>
      </c>
      <c r="E826" s="95">
        <v>20005301</v>
      </c>
      <c r="F826" s="35">
        <v>0</v>
      </c>
    </row>
    <row r="827" spans="1:6" s="4" customFormat="1" ht="12">
      <c r="A827" s="106">
        <v>240314</v>
      </c>
      <c r="B827" s="119" t="s">
        <v>1086</v>
      </c>
      <c r="C827" s="103">
        <v>117070000</v>
      </c>
      <c r="D827" s="111" t="s">
        <v>1107</v>
      </c>
      <c r="E827" s="95">
        <v>12324599</v>
      </c>
      <c r="F827" s="35">
        <v>0</v>
      </c>
    </row>
    <row r="828" spans="1:6" s="4" customFormat="1" ht="12">
      <c r="A828" s="106">
        <v>240314</v>
      </c>
      <c r="B828" s="119" t="s">
        <v>1086</v>
      </c>
      <c r="C828" s="103">
        <v>117373000</v>
      </c>
      <c r="D828" s="111" t="s">
        <v>1108</v>
      </c>
      <c r="E828" s="95">
        <v>17535182</v>
      </c>
      <c r="F828" s="35">
        <v>0</v>
      </c>
    </row>
    <row r="829" spans="1:6" s="4" customFormat="1" ht="12">
      <c r="A829" s="106">
        <v>240314</v>
      </c>
      <c r="B829" s="119" t="s">
        <v>1086</v>
      </c>
      <c r="C829" s="103">
        <v>117676000</v>
      </c>
      <c r="D829" s="111" t="s">
        <v>1109</v>
      </c>
      <c r="E829" s="95">
        <v>43120840</v>
      </c>
      <c r="F829" s="35">
        <v>0</v>
      </c>
    </row>
    <row r="830" spans="1:6" s="4" customFormat="1" ht="12">
      <c r="A830" s="106">
        <v>240314</v>
      </c>
      <c r="B830" s="119" t="s">
        <v>1086</v>
      </c>
      <c r="C830" s="103">
        <v>118181000</v>
      </c>
      <c r="D830" s="111" t="s">
        <v>1110</v>
      </c>
      <c r="E830" s="95">
        <v>5561304</v>
      </c>
      <c r="F830" s="35">
        <v>0</v>
      </c>
    </row>
    <row r="831" spans="1:6" s="4" customFormat="1" ht="12">
      <c r="A831" s="106">
        <v>240314</v>
      </c>
      <c r="B831" s="119" t="s">
        <v>1086</v>
      </c>
      <c r="C831" s="103">
        <v>118585000</v>
      </c>
      <c r="D831" s="111" t="s">
        <v>1111</v>
      </c>
      <c r="E831" s="95">
        <v>6584817</v>
      </c>
      <c r="F831" s="35">
        <v>0</v>
      </c>
    </row>
    <row r="832" spans="1:6" s="4" customFormat="1" ht="12">
      <c r="A832" s="106">
        <v>240314</v>
      </c>
      <c r="B832" s="119" t="s">
        <v>1086</v>
      </c>
      <c r="C832" s="103">
        <v>118686000</v>
      </c>
      <c r="D832" s="111" t="s">
        <v>1112</v>
      </c>
      <c r="E832" s="95">
        <v>8278988</v>
      </c>
      <c r="F832" s="35">
        <v>0</v>
      </c>
    </row>
    <row r="833" spans="1:7" s="4" customFormat="1" ht="12">
      <c r="A833" s="106">
        <v>240314</v>
      </c>
      <c r="B833" s="119" t="s">
        <v>1086</v>
      </c>
      <c r="C833" s="103">
        <v>118888000</v>
      </c>
      <c r="D833" s="111" t="s">
        <v>1113</v>
      </c>
      <c r="E833" s="95">
        <v>1674403</v>
      </c>
      <c r="F833" s="35">
        <v>0</v>
      </c>
      <c r="G833" s="1" t="e">
        <f>+E833+#REF!</f>
        <v>#REF!</v>
      </c>
    </row>
    <row r="834" spans="1:6" s="4" customFormat="1" ht="12">
      <c r="A834" s="106">
        <v>240314</v>
      </c>
      <c r="B834" s="119" t="s">
        <v>1086</v>
      </c>
      <c r="C834" s="103">
        <v>119191000</v>
      </c>
      <c r="D834" s="111" t="s">
        <v>1114</v>
      </c>
      <c r="E834" s="95">
        <v>2695526</v>
      </c>
      <c r="F834" s="35">
        <v>0</v>
      </c>
    </row>
    <row r="835" spans="1:6" s="4" customFormat="1" ht="12">
      <c r="A835" s="106">
        <v>240314</v>
      </c>
      <c r="B835" s="119" t="s">
        <v>1086</v>
      </c>
      <c r="C835" s="103">
        <v>119797000</v>
      </c>
      <c r="D835" s="111" t="s">
        <v>1115</v>
      </c>
      <c r="E835" s="95">
        <v>1357000</v>
      </c>
      <c r="F835" s="35">
        <v>0</v>
      </c>
    </row>
    <row r="836" spans="1:6" s="4" customFormat="1" ht="12">
      <c r="A836" s="106">
        <v>240314</v>
      </c>
      <c r="B836" s="119" t="s">
        <v>1086</v>
      </c>
      <c r="C836" s="103">
        <v>119999000</v>
      </c>
      <c r="D836" s="111" t="s">
        <v>1116</v>
      </c>
      <c r="E836" s="95">
        <v>2393932</v>
      </c>
      <c r="F836" s="35">
        <v>0</v>
      </c>
    </row>
    <row r="837" spans="1:6" s="4" customFormat="1" ht="12">
      <c r="A837" s="106">
        <v>240314</v>
      </c>
      <c r="B837" s="119" t="s">
        <v>1086</v>
      </c>
      <c r="C837" s="103">
        <v>119494000</v>
      </c>
      <c r="D837" s="111" t="s">
        <v>1117</v>
      </c>
      <c r="E837" s="95">
        <v>1425169</v>
      </c>
      <c r="F837" s="35">
        <v>0</v>
      </c>
    </row>
    <row r="838" spans="1:6" s="4" customFormat="1" ht="12">
      <c r="A838" s="106">
        <v>240314</v>
      </c>
      <c r="B838" s="119" t="s">
        <v>1086</v>
      </c>
      <c r="C838" s="103">
        <v>119595000</v>
      </c>
      <c r="D838" s="111" t="s">
        <v>1118</v>
      </c>
      <c r="E838" s="95">
        <v>3054498</v>
      </c>
      <c r="F838" s="35">
        <v>0</v>
      </c>
    </row>
    <row r="839" spans="1:6" s="4" customFormat="1" ht="12">
      <c r="A839" s="106">
        <v>240314</v>
      </c>
      <c r="B839" s="119" t="s">
        <v>1086</v>
      </c>
      <c r="C839" s="103">
        <v>210111001</v>
      </c>
      <c r="D839" s="111" t="s">
        <v>1119</v>
      </c>
      <c r="E839" s="95">
        <v>76434386</v>
      </c>
      <c r="F839" s="35">
        <v>0</v>
      </c>
    </row>
    <row r="840" spans="1:6" s="4" customFormat="1" ht="12">
      <c r="A840" s="106">
        <v>240314</v>
      </c>
      <c r="B840" s="119" t="s">
        <v>1086</v>
      </c>
      <c r="C840" s="103">
        <v>210108001</v>
      </c>
      <c r="D840" s="111" t="s">
        <v>1120</v>
      </c>
      <c r="E840" s="95">
        <v>13940113</v>
      </c>
      <c r="F840" s="35">
        <v>0</v>
      </c>
    </row>
    <row r="841" spans="1:6" s="4" customFormat="1" ht="12">
      <c r="A841" s="106">
        <v>240314</v>
      </c>
      <c r="B841" s="119" t="s">
        <v>1086</v>
      </c>
      <c r="C841" s="103">
        <v>210113001</v>
      </c>
      <c r="D841" s="111" t="s">
        <v>1121</v>
      </c>
      <c r="E841" s="95">
        <v>13873835</v>
      </c>
      <c r="F841" s="35">
        <v>0</v>
      </c>
    </row>
    <row r="842" spans="1:6" s="4" customFormat="1" ht="12">
      <c r="A842" s="106">
        <v>240314</v>
      </c>
      <c r="B842" s="119" t="s">
        <v>1086</v>
      </c>
      <c r="C842" s="103">
        <v>210147001</v>
      </c>
      <c r="D842" s="111" t="s">
        <v>1122</v>
      </c>
      <c r="E842" s="95">
        <v>7356351</v>
      </c>
      <c r="F842" s="35">
        <v>0</v>
      </c>
    </row>
    <row r="843" spans="1:6" s="4" customFormat="1" ht="12">
      <c r="A843" s="106">
        <v>240314</v>
      </c>
      <c r="B843" s="119" t="s">
        <v>1086</v>
      </c>
      <c r="C843" s="103" t="s">
        <v>3186</v>
      </c>
      <c r="D843" s="115" t="s">
        <v>1123</v>
      </c>
      <c r="E843" s="95">
        <v>25384629</v>
      </c>
      <c r="F843" s="35">
        <v>0</v>
      </c>
    </row>
    <row r="844" spans="1:6" s="4" customFormat="1" ht="12">
      <c r="A844" s="106">
        <v>240314</v>
      </c>
      <c r="B844" s="119" t="s">
        <v>1086</v>
      </c>
      <c r="C844" s="103" t="s">
        <v>336</v>
      </c>
      <c r="D844" s="115" t="s">
        <v>1124</v>
      </c>
      <c r="E844" s="95">
        <v>4648158</v>
      </c>
      <c r="F844" s="35">
        <v>0</v>
      </c>
    </row>
    <row r="845" spans="1:6" s="4" customFormat="1" ht="12">
      <c r="A845" s="106">
        <v>240314</v>
      </c>
      <c r="B845" s="119" t="s">
        <v>1086</v>
      </c>
      <c r="C845" s="103" t="s">
        <v>2955</v>
      </c>
      <c r="D845" s="115" t="s">
        <v>1125</v>
      </c>
      <c r="E845" s="95">
        <v>1393884</v>
      </c>
      <c r="F845" s="35">
        <v>0</v>
      </c>
    </row>
    <row r="846" spans="1:6" s="4" customFormat="1" ht="12">
      <c r="A846" s="106">
        <v>240314</v>
      </c>
      <c r="B846" s="119" t="s">
        <v>1086</v>
      </c>
      <c r="C846" s="103">
        <v>216005360</v>
      </c>
      <c r="D846" s="115" t="s">
        <v>1126</v>
      </c>
      <c r="E846" s="95">
        <v>2794402</v>
      </c>
      <c r="F846" s="35">
        <v>0</v>
      </c>
    </row>
    <row r="847" spans="1:6" s="4" customFormat="1" ht="12">
      <c r="A847" s="106">
        <v>240314</v>
      </c>
      <c r="B847" s="119" t="s">
        <v>1086</v>
      </c>
      <c r="C847" s="103" t="s">
        <v>3368</v>
      </c>
      <c r="D847" s="115" t="s">
        <v>1127</v>
      </c>
      <c r="E847" s="95">
        <v>2980686</v>
      </c>
      <c r="F847" s="35">
        <v>0</v>
      </c>
    </row>
    <row r="848" spans="1:6" s="4" customFormat="1" ht="12">
      <c r="A848" s="106">
        <v>240314</v>
      </c>
      <c r="B848" s="119" t="s">
        <v>1086</v>
      </c>
      <c r="C848" s="103" t="s">
        <v>3272</v>
      </c>
      <c r="D848" s="115" t="s">
        <v>1128</v>
      </c>
      <c r="E848" s="95">
        <v>3637483</v>
      </c>
      <c r="F848" s="35">
        <v>0</v>
      </c>
    </row>
    <row r="849" spans="1:6" s="4" customFormat="1" ht="12">
      <c r="A849" s="106">
        <v>240314</v>
      </c>
      <c r="B849" s="119" t="s">
        <v>1086</v>
      </c>
      <c r="C849" s="103" t="s">
        <v>3161</v>
      </c>
      <c r="D849" s="115" t="s">
        <v>1129</v>
      </c>
      <c r="E849" s="95">
        <v>2286965</v>
      </c>
      <c r="F849" s="35">
        <v>0</v>
      </c>
    </row>
    <row r="850" spans="1:6" s="4" customFormat="1" ht="12">
      <c r="A850" s="106">
        <v>240314</v>
      </c>
      <c r="B850" s="119" t="s">
        <v>1086</v>
      </c>
      <c r="C850" s="103" t="s">
        <v>3364</v>
      </c>
      <c r="D850" s="115" t="s">
        <v>1130</v>
      </c>
      <c r="E850" s="95">
        <v>2136675</v>
      </c>
      <c r="F850" s="35">
        <v>0</v>
      </c>
    </row>
    <row r="851" spans="1:6" s="4" customFormat="1" ht="12">
      <c r="A851" s="106">
        <v>240314</v>
      </c>
      <c r="B851" s="119" t="s">
        <v>1086</v>
      </c>
      <c r="C851" s="103" t="s">
        <v>524</v>
      </c>
      <c r="D851" s="115" t="s">
        <v>1131</v>
      </c>
      <c r="E851" s="95">
        <v>2216681</v>
      </c>
      <c r="F851" s="35">
        <v>0</v>
      </c>
    </row>
    <row r="852" spans="1:6" s="4" customFormat="1" ht="12">
      <c r="A852" s="106">
        <v>240314</v>
      </c>
      <c r="B852" s="119" t="s">
        <v>1086</v>
      </c>
      <c r="C852" s="103">
        <v>215915759</v>
      </c>
      <c r="D852" s="115" t="s">
        <v>1132</v>
      </c>
      <c r="E852" s="95">
        <v>2211856</v>
      </c>
      <c r="F852" s="35">
        <v>0</v>
      </c>
    </row>
    <row r="853" spans="1:6" s="4" customFormat="1" ht="12">
      <c r="A853" s="106">
        <v>240314</v>
      </c>
      <c r="B853" s="119" t="s">
        <v>1086</v>
      </c>
      <c r="C853" s="103" t="s">
        <v>3170</v>
      </c>
      <c r="D853" s="115" t="s">
        <v>1133</v>
      </c>
      <c r="E853" s="95">
        <v>7025359</v>
      </c>
      <c r="F853" s="35">
        <v>0</v>
      </c>
    </row>
    <row r="854" spans="1:6" s="4" customFormat="1" ht="12">
      <c r="A854" s="106">
        <v>240314</v>
      </c>
      <c r="B854" s="119" t="s">
        <v>1086</v>
      </c>
      <c r="C854" s="103" t="s">
        <v>1134</v>
      </c>
      <c r="D854" s="115" t="s">
        <v>1135</v>
      </c>
      <c r="E854" s="95">
        <v>3577281</v>
      </c>
      <c r="F854" s="35">
        <v>0</v>
      </c>
    </row>
    <row r="855" spans="1:6" s="4" customFormat="1" ht="12">
      <c r="A855" s="106">
        <v>240314</v>
      </c>
      <c r="B855" s="119" t="s">
        <v>1086</v>
      </c>
      <c r="C855" s="103" t="s">
        <v>639</v>
      </c>
      <c r="D855" s="115" t="s">
        <v>1136</v>
      </c>
      <c r="E855" s="95">
        <v>4725158</v>
      </c>
      <c r="F855" s="35">
        <v>0</v>
      </c>
    </row>
    <row r="856" spans="1:6" s="4" customFormat="1" ht="12">
      <c r="A856" s="106">
        <v>240314</v>
      </c>
      <c r="B856" s="119" t="s">
        <v>1086</v>
      </c>
      <c r="C856" s="103" t="s">
        <v>3397</v>
      </c>
      <c r="D856" s="115" t="s">
        <v>1137</v>
      </c>
      <c r="E856" s="95">
        <v>5955487</v>
      </c>
      <c r="F856" s="35">
        <v>0</v>
      </c>
    </row>
    <row r="857" spans="1:6" s="4" customFormat="1" ht="12">
      <c r="A857" s="106">
        <v>240314</v>
      </c>
      <c r="B857" s="119" t="s">
        <v>1086</v>
      </c>
      <c r="C857" s="103">
        <v>210123001</v>
      </c>
      <c r="D857" s="115" t="s">
        <v>1138</v>
      </c>
      <c r="E857" s="95">
        <v>7384751</v>
      </c>
      <c r="F857" s="35">
        <v>0</v>
      </c>
    </row>
    <row r="858" spans="1:6" s="4" customFormat="1" ht="12">
      <c r="A858" s="106">
        <v>240314</v>
      </c>
      <c r="B858" s="119" t="s">
        <v>1086</v>
      </c>
      <c r="C858" s="103" t="s">
        <v>3149</v>
      </c>
      <c r="D858" s="115" t="s">
        <v>1139</v>
      </c>
      <c r="E858" s="95">
        <v>2344017</v>
      </c>
      <c r="F858" s="35">
        <v>0</v>
      </c>
    </row>
    <row r="859" spans="1:6" s="4" customFormat="1" ht="12">
      <c r="A859" s="106">
        <v>240314</v>
      </c>
      <c r="B859" s="119" t="s">
        <v>1086</v>
      </c>
      <c r="C859" s="103" t="s">
        <v>729</v>
      </c>
      <c r="D859" s="115" t="s">
        <v>1140</v>
      </c>
      <c r="E859" s="95">
        <v>2061243</v>
      </c>
      <c r="F859" s="35">
        <v>0</v>
      </c>
    </row>
    <row r="860" spans="1:6" s="4" customFormat="1" ht="12">
      <c r="A860" s="106">
        <v>240314</v>
      </c>
      <c r="B860" s="119" t="s">
        <v>1086</v>
      </c>
      <c r="C860" s="103" t="s">
        <v>2987</v>
      </c>
      <c r="D860" s="115" t="s">
        <v>1141</v>
      </c>
      <c r="E860" s="95">
        <v>1657771</v>
      </c>
      <c r="F860" s="35">
        <v>0</v>
      </c>
    </row>
    <row r="861" spans="1:6" s="4" customFormat="1" ht="12">
      <c r="A861" s="106">
        <v>240314</v>
      </c>
      <c r="B861" s="119" t="s">
        <v>1086</v>
      </c>
      <c r="C861" s="103" t="s">
        <v>3014</v>
      </c>
      <c r="D861" s="115" t="s">
        <v>1142</v>
      </c>
      <c r="E861" s="95">
        <v>1340698</v>
      </c>
      <c r="F861" s="35">
        <v>0</v>
      </c>
    </row>
    <row r="862" spans="1:6" s="4" customFormat="1" ht="12">
      <c r="A862" s="106">
        <v>240314</v>
      </c>
      <c r="B862" s="119" t="s">
        <v>1086</v>
      </c>
      <c r="C862" s="103" t="s">
        <v>3265</v>
      </c>
      <c r="D862" s="115" t="s">
        <v>1143</v>
      </c>
      <c r="E862" s="95">
        <v>4687761</v>
      </c>
      <c r="F862" s="35">
        <v>0</v>
      </c>
    </row>
    <row r="863" spans="1:6" s="4" customFormat="1" ht="12">
      <c r="A863" s="106">
        <v>240314</v>
      </c>
      <c r="B863" s="119" t="s">
        <v>1086</v>
      </c>
      <c r="C863" s="103" t="s">
        <v>3234</v>
      </c>
      <c r="D863" s="115" t="s">
        <v>1144</v>
      </c>
      <c r="E863" s="95">
        <v>6332405</v>
      </c>
      <c r="F863" s="35">
        <v>0</v>
      </c>
    </row>
    <row r="864" spans="1:6" s="4" customFormat="1" ht="12">
      <c r="A864" s="106">
        <v>240314</v>
      </c>
      <c r="B864" s="119" t="s">
        <v>1086</v>
      </c>
      <c r="C864" s="103" t="s">
        <v>1145</v>
      </c>
      <c r="D864" s="115" t="s">
        <v>1146</v>
      </c>
      <c r="E864" s="95">
        <v>2462770</v>
      </c>
      <c r="F864" s="35">
        <v>0</v>
      </c>
    </row>
    <row r="865" spans="1:6" s="4" customFormat="1" ht="12">
      <c r="A865" s="106">
        <v>240314</v>
      </c>
      <c r="B865" s="119" t="s">
        <v>1086</v>
      </c>
      <c r="C865" s="103" t="s">
        <v>1147</v>
      </c>
      <c r="D865" s="115" t="s">
        <v>1148</v>
      </c>
      <c r="E865" s="95">
        <v>2312613</v>
      </c>
      <c r="F865" s="35">
        <v>0</v>
      </c>
    </row>
    <row r="866" spans="1:6" s="4" customFormat="1" ht="12">
      <c r="A866" s="106">
        <v>240314</v>
      </c>
      <c r="B866" s="119" t="s">
        <v>1086</v>
      </c>
      <c r="C866" s="103">
        <v>210150001</v>
      </c>
      <c r="D866" s="115" t="s">
        <v>1149</v>
      </c>
      <c r="E866" s="95">
        <v>6692748</v>
      </c>
      <c r="F866" s="35">
        <v>0</v>
      </c>
    </row>
    <row r="867" spans="1:6" s="4" customFormat="1" ht="12">
      <c r="A867" s="106">
        <v>240314</v>
      </c>
      <c r="B867" s="119" t="s">
        <v>1086</v>
      </c>
      <c r="C867" s="103" t="s">
        <v>603</v>
      </c>
      <c r="D867" s="115" t="s">
        <v>1150</v>
      </c>
      <c r="E867" s="95">
        <v>7857313</v>
      </c>
      <c r="F867" s="35">
        <v>0</v>
      </c>
    </row>
    <row r="868" spans="1:6" s="4" customFormat="1" ht="12">
      <c r="A868" s="106">
        <v>240314</v>
      </c>
      <c r="B868" s="119" t="s">
        <v>1086</v>
      </c>
      <c r="C868" s="103">
        <v>213552835</v>
      </c>
      <c r="D868" s="115" t="s">
        <v>1151</v>
      </c>
      <c r="E868" s="95">
        <v>3817743</v>
      </c>
      <c r="F868" s="35">
        <v>0</v>
      </c>
    </row>
    <row r="869" spans="1:6" s="4" customFormat="1" ht="12">
      <c r="A869" s="106">
        <v>240314</v>
      </c>
      <c r="B869" s="119" t="s">
        <v>1086</v>
      </c>
      <c r="C869" s="103">
        <v>210154001</v>
      </c>
      <c r="D869" s="115" t="s">
        <v>1152</v>
      </c>
      <c r="E869" s="95">
        <v>11311742</v>
      </c>
      <c r="F869" s="35">
        <v>0</v>
      </c>
    </row>
    <row r="870" spans="1:6" s="4" customFormat="1" ht="12">
      <c r="A870" s="106">
        <v>240314</v>
      </c>
      <c r="B870" s="119" t="s">
        <v>1086</v>
      </c>
      <c r="C870" s="103">
        <v>210163001</v>
      </c>
      <c r="D870" s="115" t="s">
        <v>1153</v>
      </c>
      <c r="E870" s="95">
        <v>4674249</v>
      </c>
      <c r="F870" s="35">
        <v>0</v>
      </c>
    </row>
    <row r="871" spans="1:6" s="4" customFormat="1" ht="12">
      <c r="A871" s="106">
        <v>240314</v>
      </c>
      <c r="B871" s="119" t="s">
        <v>1086</v>
      </c>
      <c r="C871" s="103">
        <v>210166001</v>
      </c>
      <c r="D871" s="115" t="s">
        <v>1154</v>
      </c>
      <c r="E871" s="95">
        <v>6728261</v>
      </c>
      <c r="F871" s="35">
        <v>0</v>
      </c>
    </row>
    <row r="872" spans="1:6" s="4" customFormat="1" ht="12">
      <c r="A872" s="106">
        <v>240314</v>
      </c>
      <c r="B872" s="119" t="s">
        <v>1086</v>
      </c>
      <c r="C872" s="103">
        <v>217066170</v>
      </c>
      <c r="D872" s="115" t="s">
        <v>1155</v>
      </c>
      <c r="E872" s="95">
        <v>2406877</v>
      </c>
      <c r="F872" s="35">
        <v>0</v>
      </c>
    </row>
    <row r="873" spans="1:6" s="4" customFormat="1" ht="12">
      <c r="A873" s="106">
        <v>240314</v>
      </c>
      <c r="B873" s="119" t="s">
        <v>1086</v>
      </c>
      <c r="C873" s="103" t="s">
        <v>360</v>
      </c>
      <c r="D873" s="115" t="s">
        <v>1156</v>
      </c>
      <c r="E873" s="95">
        <v>8211572</v>
      </c>
      <c r="F873" s="35">
        <v>0</v>
      </c>
    </row>
    <row r="874" spans="1:6" s="4" customFormat="1" ht="12">
      <c r="A874" s="106">
        <v>240314</v>
      </c>
      <c r="B874" s="119" t="s">
        <v>1086</v>
      </c>
      <c r="C874" s="103" t="s">
        <v>328</v>
      </c>
      <c r="D874" s="115" t="s">
        <v>1157</v>
      </c>
      <c r="E874" s="95">
        <v>3287355</v>
      </c>
      <c r="F874" s="35">
        <v>0</v>
      </c>
    </row>
    <row r="875" spans="1:6" s="4" customFormat="1" ht="12">
      <c r="A875" s="106">
        <v>240314</v>
      </c>
      <c r="B875" s="119" t="s">
        <v>1086</v>
      </c>
      <c r="C875" s="103" t="s">
        <v>2970</v>
      </c>
      <c r="D875" s="115" t="s">
        <v>1158</v>
      </c>
      <c r="E875" s="95">
        <v>3020561</v>
      </c>
      <c r="F875" s="35">
        <v>0</v>
      </c>
    </row>
    <row r="876" spans="1:6" s="4" customFormat="1" ht="12">
      <c r="A876" s="106">
        <v>240314</v>
      </c>
      <c r="B876" s="119" t="s">
        <v>1086</v>
      </c>
      <c r="C876" s="103" t="s">
        <v>3018</v>
      </c>
      <c r="D876" s="115" t="s">
        <v>1159</v>
      </c>
      <c r="E876" s="95">
        <v>1840479</v>
      </c>
      <c r="F876" s="35">
        <v>0</v>
      </c>
    </row>
    <row r="877" spans="1:6" s="4" customFormat="1" ht="12">
      <c r="A877" s="106">
        <v>240314</v>
      </c>
      <c r="B877" s="119" t="s">
        <v>1086</v>
      </c>
      <c r="C877" s="103">
        <v>210170001</v>
      </c>
      <c r="D877" s="115" t="s">
        <v>1160</v>
      </c>
      <c r="E877" s="95">
        <v>4655700</v>
      </c>
      <c r="F877" s="35">
        <v>0</v>
      </c>
    </row>
    <row r="878" spans="1:6" s="4" customFormat="1" ht="12">
      <c r="A878" s="106">
        <v>240314</v>
      </c>
      <c r="B878" s="119" t="s">
        <v>1086</v>
      </c>
      <c r="C878" s="103">
        <v>210173001</v>
      </c>
      <c r="D878" s="115" t="s">
        <v>1161</v>
      </c>
      <c r="E878" s="95">
        <v>7389482</v>
      </c>
      <c r="F878" s="35">
        <v>0</v>
      </c>
    </row>
    <row r="879" spans="1:6" s="4" customFormat="1" ht="12">
      <c r="A879" s="106">
        <v>240314</v>
      </c>
      <c r="B879" s="119" t="s">
        <v>1086</v>
      </c>
      <c r="C879" s="103">
        <v>210176001</v>
      </c>
      <c r="D879" s="115" t="s">
        <v>1162</v>
      </c>
      <c r="E879" s="95">
        <v>19830550</v>
      </c>
      <c r="F879" s="35">
        <v>0</v>
      </c>
    </row>
    <row r="880" spans="1:6" s="4" customFormat="1" ht="12">
      <c r="A880" s="106">
        <v>240314</v>
      </c>
      <c r="B880" s="119" t="s">
        <v>1086</v>
      </c>
      <c r="C880" s="103">
        <v>210976109</v>
      </c>
      <c r="D880" s="115" t="s">
        <v>1163</v>
      </c>
      <c r="E880" s="95">
        <v>6617635</v>
      </c>
      <c r="F880" s="35">
        <v>0</v>
      </c>
    </row>
    <row r="881" spans="1:6" s="4" customFormat="1" ht="12">
      <c r="A881" s="106">
        <v>240314</v>
      </c>
      <c r="B881" s="119" t="s">
        <v>1086</v>
      </c>
      <c r="C881" s="103">
        <v>211176111</v>
      </c>
      <c r="D881" s="115" t="s">
        <v>1164</v>
      </c>
      <c r="E881" s="95">
        <v>1737288</v>
      </c>
      <c r="F881" s="35">
        <v>0</v>
      </c>
    </row>
    <row r="882" spans="1:6" s="4" customFormat="1" ht="12">
      <c r="A882" s="106">
        <v>240314</v>
      </c>
      <c r="B882" s="119" t="s">
        <v>1086</v>
      </c>
      <c r="C882" s="103">
        <v>214776147</v>
      </c>
      <c r="D882" s="115" t="s">
        <v>1165</v>
      </c>
      <c r="E882" s="95">
        <v>1882129</v>
      </c>
      <c r="F882" s="35">
        <v>0</v>
      </c>
    </row>
    <row r="883" spans="1:6" s="4" customFormat="1" ht="12">
      <c r="A883" s="106">
        <v>240314</v>
      </c>
      <c r="B883" s="119" t="s">
        <v>1086</v>
      </c>
      <c r="C883" s="103">
        <v>212076520</v>
      </c>
      <c r="D883" s="115" t="s">
        <v>1166</v>
      </c>
      <c r="E883" s="95">
        <v>3640960</v>
      </c>
      <c r="F883" s="35">
        <v>0</v>
      </c>
    </row>
    <row r="884" spans="1:6" s="4" customFormat="1" ht="12">
      <c r="A884" s="106">
        <v>240314</v>
      </c>
      <c r="B884" s="119" t="s">
        <v>1086</v>
      </c>
      <c r="C884" s="103">
        <v>213476834</v>
      </c>
      <c r="D884" s="115" t="s">
        <v>1167</v>
      </c>
      <c r="E884" s="95">
        <v>2445312</v>
      </c>
      <c r="F884" s="35">
        <v>0</v>
      </c>
    </row>
    <row r="885" spans="1:6" s="4" customFormat="1" ht="12">
      <c r="A885" s="106">
        <v>240314</v>
      </c>
      <c r="B885" s="119" t="s">
        <v>1086</v>
      </c>
      <c r="C885" s="103" t="s">
        <v>1168</v>
      </c>
      <c r="D885" s="111" t="s">
        <v>1169</v>
      </c>
      <c r="E885" s="95">
        <v>18096</v>
      </c>
      <c r="F885" s="35">
        <v>0</v>
      </c>
    </row>
    <row r="886" spans="1:6" s="4" customFormat="1" ht="12">
      <c r="A886" s="106">
        <v>240314</v>
      </c>
      <c r="B886" s="119" t="s">
        <v>1086</v>
      </c>
      <c r="C886" s="103" t="s">
        <v>1170</v>
      </c>
      <c r="D886" s="111" t="s">
        <v>1171</v>
      </c>
      <c r="E886" s="95">
        <v>2542</v>
      </c>
      <c r="F886" s="35">
        <v>0</v>
      </c>
    </row>
    <row r="887" spans="1:6" s="4" customFormat="1" ht="12">
      <c r="A887" s="106">
        <v>240314</v>
      </c>
      <c r="B887" s="119" t="s">
        <v>1086</v>
      </c>
      <c r="C887" s="103" t="s">
        <v>264</v>
      </c>
      <c r="D887" s="111" t="s">
        <v>1172</v>
      </c>
      <c r="E887" s="95">
        <v>4262</v>
      </c>
      <c r="F887" s="35">
        <v>0</v>
      </c>
    </row>
    <row r="888" spans="1:6" s="4" customFormat="1" ht="12">
      <c r="A888" s="106">
        <v>240314</v>
      </c>
      <c r="B888" s="119" t="s">
        <v>1086</v>
      </c>
      <c r="C888" s="103" t="s">
        <v>274</v>
      </c>
      <c r="D888" s="111" t="s">
        <v>1173</v>
      </c>
      <c r="E888" s="95">
        <v>29754</v>
      </c>
      <c r="F888" s="35">
        <v>0</v>
      </c>
    </row>
    <row r="889" spans="1:6" s="4" customFormat="1" ht="12">
      <c r="A889" s="106">
        <v>240314</v>
      </c>
      <c r="B889" s="119" t="s">
        <v>1086</v>
      </c>
      <c r="C889" s="103" t="s">
        <v>276</v>
      </c>
      <c r="D889" s="111" t="s">
        <v>1174</v>
      </c>
      <c r="E889" s="95">
        <v>24283</v>
      </c>
      <c r="F889" s="35">
        <v>0</v>
      </c>
    </row>
    <row r="890" spans="1:6" s="4" customFormat="1" ht="12">
      <c r="A890" s="106">
        <v>240314</v>
      </c>
      <c r="B890" s="119" t="s">
        <v>1086</v>
      </c>
      <c r="C890" s="103" t="s">
        <v>1175</v>
      </c>
      <c r="D890" s="111" t="s">
        <v>1176</v>
      </c>
      <c r="E890" s="95">
        <v>44140</v>
      </c>
      <c r="F890" s="35">
        <v>0</v>
      </c>
    </row>
    <row r="891" spans="1:6" s="4" customFormat="1" ht="12">
      <c r="A891" s="106">
        <v>240314</v>
      </c>
      <c r="B891" s="119" t="s">
        <v>1086</v>
      </c>
      <c r="C891" s="103" t="s">
        <v>1177</v>
      </c>
      <c r="D891" s="111" t="s">
        <v>1178</v>
      </c>
      <c r="E891" s="95">
        <v>6417</v>
      </c>
      <c r="F891" s="35">
        <v>0</v>
      </c>
    </row>
    <row r="892" spans="1:6" s="4" customFormat="1" ht="12">
      <c r="A892" s="106">
        <v>240314</v>
      </c>
      <c r="B892" s="119" t="s">
        <v>1086</v>
      </c>
      <c r="C892" s="103" t="s">
        <v>283</v>
      </c>
      <c r="D892" s="111" t="s">
        <v>1179</v>
      </c>
      <c r="E892" s="95">
        <v>12889</v>
      </c>
      <c r="F892" s="35">
        <v>0</v>
      </c>
    </row>
    <row r="893" spans="1:6" s="4" customFormat="1" ht="12">
      <c r="A893" s="106">
        <v>240314</v>
      </c>
      <c r="B893" s="119" t="s">
        <v>1086</v>
      </c>
      <c r="C893" s="103" t="s">
        <v>287</v>
      </c>
      <c r="D893" s="111" t="s">
        <v>1180</v>
      </c>
      <c r="E893" s="95">
        <v>16282</v>
      </c>
      <c r="F893" s="35">
        <v>0</v>
      </c>
    </row>
    <row r="894" spans="1:6" s="4" customFormat="1" ht="12">
      <c r="A894" s="106">
        <v>240314</v>
      </c>
      <c r="B894" s="119" t="s">
        <v>1086</v>
      </c>
      <c r="C894" s="103" t="s">
        <v>1181</v>
      </c>
      <c r="D894" s="111" t="s">
        <v>1087</v>
      </c>
      <c r="E894" s="95">
        <v>26185</v>
      </c>
      <c r="F894" s="35">
        <v>0</v>
      </c>
    </row>
    <row r="895" spans="1:6" s="4" customFormat="1" ht="12">
      <c r="A895" s="106">
        <v>240314</v>
      </c>
      <c r="B895" s="119" t="s">
        <v>1086</v>
      </c>
      <c r="C895" s="103" t="s">
        <v>1182</v>
      </c>
      <c r="D895" s="111" t="s">
        <v>1183</v>
      </c>
      <c r="E895" s="95">
        <v>8091</v>
      </c>
      <c r="F895" s="35">
        <v>0</v>
      </c>
    </row>
    <row r="896" spans="1:6" s="4" customFormat="1" ht="12">
      <c r="A896" s="106">
        <v>240314</v>
      </c>
      <c r="B896" s="119" t="s">
        <v>1086</v>
      </c>
      <c r="C896" s="103" t="s">
        <v>1184</v>
      </c>
      <c r="D896" s="111" t="s">
        <v>1185</v>
      </c>
      <c r="E896" s="95">
        <v>101257</v>
      </c>
      <c r="F896" s="35">
        <v>0</v>
      </c>
    </row>
    <row r="897" spans="1:6" s="4" customFormat="1" ht="12">
      <c r="A897" s="106">
        <v>240314</v>
      </c>
      <c r="B897" s="119" t="s">
        <v>1086</v>
      </c>
      <c r="C897" s="103">
        <v>215105051</v>
      </c>
      <c r="D897" s="111" t="s">
        <v>1186</v>
      </c>
      <c r="E897" s="95">
        <v>52640</v>
      </c>
      <c r="F897" s="35">
        <v>0</v>
      </c>
    </row>
    <row r="898" spans="1:6" s="4" customFormat="1" ht="12">
      <c r="A898" s="106">
        <v>240314</v>
      </c>
      <c r="B898" s="119" t="s">
        <v>1086</v>
      </c>
      <c r="C898" s="103" t="s">
        <v>310</v>
      </c>
      <c r="D898" s="111" t="s">
        <v>1187</v>
      </c>
      <c r="E898" s="95">
        <v>12585</v>
      </c>
      <c r="F898" s="35">
        <v>0</v>
      </c>
    </row>
    <row r="899" spans="1:6" s="4" customFormat="1" ht="12">
      <c r="A899" s="106">
        <v>240314</v>
      </c>
      <c r="B899" s="119" t="s">
        <v>1086</v>
      </c>
      <c r="C899" s="103" t="s">
        <v>312</v>
      </c>
      <c r="D899" s="111" t="s">
        <v>1153</v>
      </c>
      <c r="E899" s="95">
        <v>6310</v>
      </c>
      <c r="F899" s="35">
        <v>0</v>
      </c>
    </row>
    <row r="900" spans="1:6" s="4" customFormat="1" ht="12">
      <c r="A900" s="106">
        <v>240314</v>
      </c>
      <c r="B900" s="119" t="s">
        <v>1086</v>
      </c>
      <c r="C900" s="103" t="s">
        <v>1188</v>
      </c>
      <c r="D900" s="111" t="s">
        <v>1189</v>
      </c>
      <c r="E900" s="95">
        <v>43609</v>
      </c>
      <c r="F900" s="35">
        <v>0</v>
      </c>
    </row>
    <row r="901" spans="1:6" s="4" customFormat="1" ht="12">
      <c r="A901" s="106">
        <v>240314</v>
      </c>
      <c r="B901" s="119" t="s">
        <v>1086</v>
      </c>
      <c r="C901" s="103" t="s">
        <v>338</v>
      </c>
      <c r="D901" s="111" t="s">
        <v>1190</v>
      </c>
      <c r="E901" s="95">
        <v>7258</v>
      </c>
      <c r="F901" s="35">
        <v>0</v>
      </c>
    </row>
    <row r="902" spans="1:6" s="4" customFormat="1" ht="12">
      <c r="A902" s="106">
        <v>240314</v>
      </c>
      <c r="B902" s="119" t="s">
        <v>1086</v>
      </c>
      <c r="C902" s="103" t="s">
        <v>1191</v>
      </c>
      <c r="D902" s="111" t="s">
        <v>1192</v>
      </c>
      <c r="E902" s="95">
        <v>9943</v>
      </c>
      <c r="F902" s="35">
        <v>0</v>
      </c>
    </row>
    <row r="903" spans="1:6" s="4" customFormat="1" ht="12">
      <c r="A903" s="106">
        <v>240314</v>
      </c>
      <c r="B903" s="119" t="s">
        <v>1086</v>
      </c>
      <c r="C903" s="103" t="s">
        <v>1193</v>
      </c>
      <c r="D903" s="111" t="s">
        <v>1194</v>
      </c>
      <c r="E903" s="95">
        <v>17084</v>
      </c>
      <c r="F903" s="35">
        <v>0</v>
      </c>
    </row>
    <row r="904" spans="1:6" s="4" customFormat="1" ht="12">
      <c r="A904" s="106">
        <v>240314</v>
      </c>
      <c r="B904" s="119" t="s">
        <v>1086</v>
      </c>
      <c r="C904" s="103" t="s">
        <v>1048</v>
      </c>
      <c r="D904" s="111" t="s">
        <v>1089</v>
      </c>
      <c r="E904" s="95">
        <v>27763</v>
      </c>
      <c r="F904" s="35">
        <v>0</v>
      </c>
    </row>
    <row r="905" spans="1:6" s="4" customFormat="1" ht="12">
      <c r="A905" s="106">
        <v>240314</v>
      </c>
      <c r="B905" s="119" t="s">
        <v>1086</v>
      </c>
      <c r="C905" s="103" t="s">
        <v>1044</v>
      </c>
      <c r="D905" s="111" t="s">
        <v>1195</v>
      </c>
      <c r="E905" s="95">
        <v>10282</v>
      </c>
      <c r="F905" s="35">
        <v>0</v>
      </c>
    </row>
    <row r="906" spans="1:6" s="4" customFormat="1" ht="12">
      <c r="A906" s="106">
        <v>240314</v>
      </c>
      <c r="B906" s="119" t="s">
        <v>1086</v>
      </c>
      <c r="C906" s="103" t="s">
        <v>1196</v>
      </c>
      <c r="D906" s="111" t="s">
        <v>1197</v>
      </c>
      <c r="E906" s="95">
        <v>7988</v>
      </c>
      <c r="F906" s="35">
        <v>0</v>
      </c>
    </row>
    <row r="907" spans="1:6" s="4" customFormat="1" ht="12">
      <c r="A907" s="106">
        <v>240314</v>
      </c>
      <c r="B907" s="119" t="s">
        <v>1086</v>
      </c>
      <c r="C907" s="103" t="s">
        <v>371</v>
      </c>
      <c r="D907" s="111" t="s">
        <v>1198</v>
      </c>
      <c r="E907" s="95">
        <v>37208</v>
      </c>
      <c r="F907" s="35">
        <v>0</v>
      </c>
    </row>
    <row r="908" spans="1:6" s="4" customFormat="1" ht="12">
      <c r="A908" s="106">
        <v>240314</v>
      </c>
      <c r="B908" s="119" t="s">
        <v>1086</v>
      </c>
      <c r="C908" s="103" t="s">
        <v>374</v>
      </c>
      <c r="D908" s="111" t="s">
        <v>1199</v>
      </c>
      <c r="E908" s="95">
        <v>10078</v>
      </c>
      <c r="F908" s="35">
        <v>0</v>
      </c>
    </row>
    <row r="909" spans="1:6" s="4" customFormat="1" ht="12">
      <c r="A909" s="106">
        <v>240314</v>
      </c>
      <c r="B909" s="119" t="s">
        <v>1086</v>
      </c>
      <c r="C909" s="103" t="s">
        <v>382</v>
      </c>
      <c r="D909" s="111" t="s">
        <v>1091</v>
      </c>
      <c r="E909" s="95">
        <v>55580</v>
      </c>
      <c r="F909" s="35">
        <v>0</v>
      </c>
    </row>
    <row r="910" spans="1:6" s="4" customFormat="1" ht="12">
      <c r="A910" s="106">
        <v>240314</v>
      </c>
      <c r="B910" s="119" t="s">
        <v>1086</v>
      </c>
      <c r="C910" s="103" t="s">
        <v>392</v>
      </c>
      <c r="D910" s="111" t="s">
        <v>1200</v>
      </c>
      <c r="E910" s="95">
        <v>10062</v>
      </c>
      <c r="F910" s="35">
        <v>0</v>
      </c>
    </row>
    <row r="911" spans="1:6" s="4" customFormat="1" ht="12">
      <c r="A911" s="106">
        <v>240314</v>
      </c>
      <c r="B911" s="119" t="s">
        <v>1086</v>
      </c>
      <c r="C911" s="103" t="s">
        <v>1201</v>
      </c>
      <c r="D911" s="111" t="s">
        <v>1202</v>
      </c>
      <c r="E911" s="95">
        <v>22238</v>
      </c>
      <c r="F911" s="35">
        <v>0</v>
      </c>
    </row>
    <row r="912" spans="1:6" s="4" customFormat="1" ht="12">
      <c r="A912" s="106">
        <v>240314</v>
      </c>
      <c r="B912" s="119" t="s">
        <v>1086</v>
      </c>
      <c r="C912" s="103" t="s">
        <v>1203</v>
      </c>
      <c r="D912" s="111" t="s">
        <v>1204</v>
      </c>
      <c r="E912" s="95">
        <v>6032</v>
      </c>
      <c r="F912" s="35">
        <v>0</v>
      </c>
    </row>
    <row r="913" spans="1:6" s="4" customFormat="1" ht="12">
      <c r="A913" s="106">
        <v>240314</v>
      </c>
      <c r="B913" s="119" t="s">
        <v>1086</v>
      </c>
      <c r="C913" s="103" t="s">
        <v>407</v>
      </c>
      <c r="D913" s="111" t="s">
        <v>1205</v>
      </c>
      <c r="E913" s="95">
        <v>6141</v>
      </c>
      <c r="F913" s="35">
        <v>0</v>
      </c>
    </row>
    <row r="914" spans="1:6" s="4" customFormat="1" ht="12">
      <c r="A914" s="106">
        <v>240314</v>
      </c>
      <c r="B914" s="119" t="s">
        <v>1086</v>
      </c>
      <c r="C914" s="103" t="s">
        <v>1206</v>
      </c>
      <c r="D914" s="111" t="s">
        <v>1207</v>
      </c>
      <c r="E914" s="95">
        <v>48836</v>
      </c>
      <c r="F914" s="35">
        <v>0</v>
      </c>
    </row>
    <row r="915" spans="1:6" s="4" customFormat="1" ht="12">
      <c r="A915" s="106">
        <v>240314</v>
      </c>
      <c r="B915" s="119" t="s">
        <v>1086</v>
      </c>
      <c r="C915" s="103" t="s">
        <v>1052</v>
      </c>
      <c r="D915" s="111" t="s">
        <v>1208</v>
      </c>
      <c r="E915" s="95">
        <v>44043</v>
      </c>
      <c r="F915" s="35">
        <v>0</v>
      </c>
    </row>
    <row r="916" spans="1:6" s="4" customFormat="1" ht="12">
      <c r="A916" s="106">
        <v>240314</v>
      </c>
      <c r="B916" s="119" t="s">
        <v>1086</v>
      </c>
      <c r="C916" s="103">
        <v>215005150</v>
      </c>
      <c r="D916" s="111" t="s">
        <v>1209</v>
      </c>
      <c r="E916" s="95">
        <v>5797</v>
      </c>
      <c r="F916" s="35">
        <v>0</v>
      </c>
    </row>
    <row r="917" spans="1:6" s="4" customFormat="1" ht="12">
      <c r="A917" s="106">
        <v>240314</v>
      </c>
      <c r="B917" s="119" t="s">
        <v>1086</v>
      </c>
      <c r="C917" s="103" t="s">
        <v>416</v>
      </c>
      <c r="D917" s="111" t="s">
        <v>1210</v>
      </c>
      <c r="E917" s="95">
        <v>94938</v>
      </c>
      <c r="F917" s="35">
        <v>0</v>
      </c>
    </row>
    <row r="918" spans="1:6" s="4" customFormat="1" ht="12">
      <c r="A918" s="106">
        <v>240314</v>
      </c>
      <c r="B918" s="119" t="s">
        <v>1086</v>
      </c>
      <c r="C918" s="103" t="s">
        <v>1211</v>
      </c>
      <c r="D918" s="111" t="s">
        <v>1212</v>
      </c>
      <c r="E918" s="95">
        <v>60939</v>
      </c>
      <c r="F918" s="35">
        <v>0</v>
      </c>
    </row>
    <row r="919" spans="1:6" s="4" customFormat="1" ht="12">
      <c r="A919" s="106">
        <v>240314</v>
      </c>
      <c r="B919" s="119" t="s">
        <v>1086</v>
      </c>
      <c r="C919" s="103" t="s">
        <v>1213</v>
      </c>
      <c r="D919" s="111" t="s">
        <v>1214</v>
      </c>
      <c r="E919" s="95">
        <v>11852</v>
      </c>
      <c r="F919" s="35">
        <v>0</v>
      </c>
    </row>
    <row r="920" spans="1:6" s="4" customFormat="1" ht="12">
      <c r="A920" s="106">
        <v>240314</v>
      </c>
      <c r="B920" s="119" t="s">
        <v>1086</v>
      </c>
      <c r="C920" s="103" t="s">
        <v>467</v>
      </c>
      <c r="D920" s="111" t="s">
        <v>1215</v>
      </c>
      <c r="E920" s="95">
        <v>16302</v>
      </c>
      <c r="F920" s="35">
        <v>0</v>
      </c>
    </row>
    <row r="921" spans="1:6" s="4" customFormat="1" ht="12">
      <c r="A921" s="106">
        <v>240314</v>
      </c>
      <c r="B921" s="119" t="s">
        <v>1086</v>
      </c>
      <c r="C921" s="103" t="s">
        <v>1216</v>
      </c>
      <c r="D921" s="111" t="s">
        <v>1217</v>
      </c>
      <c r="E921" s="95">
        <v>4133</v>
      </c>
      <c r="F921" s="35">
        <v>0</v>
      </c>
    </row>
    <row r="922" spans="1:6" s="4" customFormat="1" ht="12">
      <c r="A922" s="106">
        <v>240314</v>
      </c>
      <c r="B922" s="119" t="s">
        <v>1086</v>
      </c>
      <c r="C922" s="103" t="s">
        <v>1218</v>
      </c>
      <c r="D922" s="111" t="s">
        <v>1219</v>
      </c>
      <c r="E922" s="95">
        <v>19331</v>
      </c>
      <c r="F922" s="35">
        <v>0</v>
      </c>
    </row>
    <row r="923" spans="1:6" s="4" customFormat="1" ht="12">
      <c r="A923" s="106">
        <v>240314</v>
      </c>
      <c r="B923" s="119" t="s">
        <v>1086</v>
      </c>
      <c r="C923" s="103" t="s">
        <v>483</v>
      </c>
      <c r="D923" s="111" t="s">
        <v>1220</v>
      </c>
      <c r="E923" s="95">
        <v>64757</v>
      </c>
      <c r="F923" s="35">
        <v>0</v>
      </c>
    </row>
    <row r="924" spans="1:6" s="4" customFormat="1" ht="12">
      <c r="A924" s="106">
        <v>240314</v>
      </c>
      <c r="B924" s="119" t="s">
        <v>1086</v>
      </c>
      <c r="C924" s="103" t="s">
        <v>1221</v>
      </c>
      <c r="D924" s="111" t="s">
        <v>1222</v>
      </c>
      <c r="E924" s="95">
        <v>30675</v>
      </c>
      <c r="F924" s="35">
        <v>0</v>
      </c>
    </row>
    <row r="925" spans="1:6" s="4" customFormat="1" ht="12">
      <c r="A925" s="106">
        <v>240314</v>
      </c>
      <c r="B925" s="119" t="s">
        <v>1086</v>
      </c>
      <c r="C925" s="103" t="s">
        <v>521</v>
      </c>
      <c r="D925" s="111" t="s">
        <v>1223</v>
      </c>
      <c r="E925" s="95">
        <v>18174</v>
      </c>
      <c r="F925" s="35">
        <v>0</v>
      </c>
    </row>
    <row r="926" spans="1:6" s="4" customFormat="1" ht="12">
      <c r="A926" s="106">
        <v>240314</v>
      </c>
      <c r="B926" s="119" t="s">
        <v>1086</v>
      </c>
      <c r="C926" s="103">
        <v>214005240</v>
      </c>
      <c r="D926" s="111" t="s">
        <v>1224</v>
      </c>
      <c r="E926" s="95">
        <v>14521</v>
      </c>
      <c r="F926" s="35">
        <v>0</v>
      </c>
    </row>
    <row r="927" spans="1:6" s="4" customFormat="1" ht="12">
      <c r="A927" s="106">
        <v>240314</v>
      </c>
      <c r="B927" s="119" t="s">
        <v>1086</v>
      </c>
      <c r="C927" s="103" t="s">
        <v>1225</v>
      </c>
      <c r="D927" s="111" t="s">
        <v>1226</v>
      </c>
      <c r="E927" s="95">
        <v>55552</v>
      </c>
      <c r="F927" s="35">
        <v>0</v>
      </c>
    </row>
    <row r="928" spans="1:6" s="4" customFormat="1" ht="12">
      <c r="A928" s="106">
        <v>240314</v>
      </c>
      <c r="B928" s="119" t="s">
        <v>1086</v>
      </c>
      <c r="C928" s="103" t="s">
        <v>2953</v>
      </c>
      <c r="D928" s="111" t="s">
        <v>1227</v>
      </c>
      <c r="E928" s="95">
        <v>9173</v>
      </c>
      <c r="F928" s="35">
        <v>0</v>
      </c>
    </row>
    <row r="929" spans="1:6" s="4" customFormat="1" ht="12">
      <c r="A929" s="106">
        <v>240314</v>
      </c>
      <c r="B929" s="119" t="s">
        <v>1086</v>
      </c>
      <c r="C929" s="103" t="s">
        <v>2976</v>
      </c>
      <c r="D929" s="111" t="s">
        <v>1228</v>
      </c>
      <c r="E929" s="95">
        <v>26200</v>
      </c>
      <c r="F929" s="35">
        <v>0</v>
      </c>
    </row>
    <row r="930" spans="1:6" s="4" customFormat="1" ht="12">
      <c r="A930" s="106">
        <v>240314</v>
      </c>
      <c r="B930" s="119" t="s">
        <v>1086</v>
      </c>
      <c r="C930" s="103" t="s">
        <v>2979</v>
      </c>
      <c r="D930" s="111" t="s">
        <v>1229</v>
      </c>
      <c r="E930" s="95">
        <v>25949</v>
      </c>
      <c r="F930" s="35">
        <v>0</v>
      </c>
    </row>
    <row r="931" spans="1:6" s="4" customFormat="1" ht="12">
      <c r="A931" s="106">
        <v>240314</v>
      </c>
      <c r="B931" s="119" t="s">
        <v>1086</v>
      </c>
      <c r="C931" s="103" t="s">
        <v>3012</v>
      </c>
      <c r="D931" s="111" t="s">
        <v>1230</v>
      </c>
      <c r="E931" s="95">
        <v>4946</v>
      </c>
      <c r="F931" s="35">
        <v>0</v>
      </c>
    </row>
    <row r="932" spans="1:6" s="4" customFormat="1" ht="12">
      <c r="A932" s="106">
        <v>240314</v>
      </c>
      <c r="B932" s="119" t="s">
        <v>1086</v>
      </c>
      <c r="C932" s="103" t="s">
        <v>3016</v>
      </c>
      <c r="D932" s="111" t="s">
        <v>1231</v>
      </c>
      <c r="E932" s="95">
        <v>35190</v>
      </c>
      <c r="F932" s="35">
        <v>0</v>
      </c>
    </row>
    <row r="933" spans="1:6" s="4" customFormat="1" ht="12">
      <c r="A933" s="106">
        <v>240314</v>
      </c>
      <c r="B933" s="119" t="s">
        <v>1086</v>
      </c>
      <c r="C933" s="103">
        <v>211005310</v>
      </c>
      <c r="D933" s="111" t="s">
        <v>1232</v>
      </c>
      <c r="E933" s="95">
        <v>11767</v>
      </c>
      <c r="F933" s="35">
        <v>0</v>
      </c>
    </row>
    <row r="934" spans="1:6" s="4" customFormat="1" ht="12">
      <c r="A934" s="106">
        <v>240314</v>
      </c>
      <c r="B934" s="119" t="s">
        <v>1086</v>
      </c>
      <c r="C934" s="103" t="s">
        <v>1233</v>
      </c>
      <c r="D934" s="111" t="s">
        <v>1234</v>
      </c>
      <c r="E934" s="95">
        <v>11187</v>
      </c>
      <c r="F934" s="35">
        <v>0</v>
      </c>
    </row>
    <row r="935" spans="1:6" s="4" customFormat="1" ht="12">
      <c r="A935" s="106">
        <v>240314</v>
      </c>
      <c r="B935" s="119" t="s">
        <v>1086</v>
      </c>
      <c r="C935" s="103" t="s">
        <v>3030</v>
      </c>
      <c r="D935" s="111" t="s">
        <v>1235</v>
      </c>
      <c r="E935" s="95">
        <v>6238</v>
      </c>
      <c r="F935" s="35">
        <v>0</v>
      </c>
    </row>
    <row r="936" spans="1:6" s="4" customFormat="1" ht="12">
      <c r="A936" s="106">
        <v>240314</v>
      </c>
      <c r="B936" s="119" t="s">
        <v>1086</v>
      </c>
      <c r="C936" s="103" t="s">
        <v>3041</v>
      </c>
      <c r="D936" s="111" t="s">
        <v>1236</v>
      </c>
      <c r="E936" s="95">
        <v>33281</v>
      </c>
      <c r="F936" s="35">
        <v>0</v>
      </c>
    </row>
    <row r="937" spans="1:6" s="4" customFormat="1" ht="12">
      <c r="A937" s="106">
        <v>240314</v>
      </c>
      <c r="B937" s="119" t="s">
        <v>1086</v>
      </c>
      <c r="C937" s="103" t="s">
        <v>3044</v>
      </c>
      <c r="D937" s="111" t="s">
        <v>1237</v>
      </c>
      <c r="E937" s="95">
        <v>6914</v>
      </c>
      <c r="F937" s="35">
        <v>0</v>
      </c>
    </row>
    <row r="938" spans="1:6" s="4" customFormat="1" ht="12">
      <c r="A938" s="106">
        <v>240314</v>
      </c>
      <c r="B938" s="119" t="s">
        <v>1086</v>
      </c>
      <c r="C938" s="103" t="s">
        <v>1238</v>
      </c>
      <c r="D938" s="111" t="s">
        <v>1239</v>
      </c>
      <c r="E938" s="95">
        <v>3933</v>
      </c>
      <c r="F938" s="35">
        <v>0</v>
      </c>
    </row>
    <row r="939" spans="1:6" s="4" customFormat="1" ht="12">
      <c r="A939" s="106">
        <v>240314</v>
      </c>
      <c r="B939" s="119" t="s">
        <v>1086</v>
      </c>
      <c r="C939" s="103" t="s">
        <v>1240</v>
      </c>
      <c r="D939" s="111" t="s">
        <v>1241</v>
      </c>
      <c r="E939" s="95">
        <v>6100</v>
      </c>
      <c r="F939" s="35">
        <v>0</v>
      </c>
    </row>
    <row r="940" spans="1:6" s="4" customFormat="1" ht="12">
      <c r="A940" s="106">
        <v>240314</v>
      </c>
      <c r="B940" s="119" t="s">
        <v>1086</v>
      </c>
      <c r="C940" s="103" t="s">
        <v>1242</v>
      </c>
      <c r="D940" s="111" t="s">
        <v>1243</v>
      </c>
      <c r="E940" s="95">
        <v>34806</v>
      </c>
      <c r="F940" s="35">
        <v>0</v>
      </c>
    </row>
    <row r="941" spans="1:6" s="4" customFormat="1" ht="12">
      <c r="A941" s="106">
        <v>240314</v>
      </c>
      <c r="B941" s="119" t="s">
        <v>1086</v>
      </c>
      <c r="C941" s="103" t="s">
        <v>3078</v>
      </c>
      <c r="D941" s="111" t="s">
        <v>1244</v>
      </c>
      <c r="E941" s="95">
        <v>14490</v>
      </c>
      <c r="F941" s="35">
        <v>0</v>
      </c>
    </row>
    <row r="942" spans="1:6" s="4" customFormat="1" ht="12">
      <c r="A942" s="106">
        <v>240314</v>
      </c>
      <c r="B942" s="119" t="s">
        <v>1086</v>
      </c>
      <c r="C942" s="103" t="s">
        <v>1245</v>
      </c>
      <c r="D942" s="111" t="s">
        <v>1246</v>
      </c>
      <c r="E942" s="95">
        <v>16771</v>
      </c>
      <c r="F942" s="35">
        <v>0</v>
      </c>
    </row>
    <row r="943" spans="1:6" s="4" customFormat="1" ht="12">
      <c r="A943" s="106">
        <v>240314</v>
      </c>
      <c r="B943" s="119" t="s">
        <v>1086</v>
      </c>
      <c r="C943" s="103">
        <v>217605376</v>
      </c>
      <c r="D943" s="111" t="s">
        <v>1247</v>
      </c>
      <c r="E943" s="95">
        <v>45851</v>
      </c>
      <c r="F943" s="35">
        <v>0</v>
      </c>
    </row>
    <row r="944" spans="1:6" s="4" customFormat="1" ht="12">
      <c r="A944" s="106">
        <v>240314</v>
      </c>
      <c r="B944" s="119" t="s">
        <v>1086</v>
      </c>
      <c r="C944" s="103" t="s">
        <v>3106</v>
      </c>
      <c r="D944" s="111" t="s">
        <v>1248</v>
      </c>
      <c r="E944" s="95">
        <v>36801</v>
      </c>
      <c r="F944" s="35">
        <v>0</v>
      </c>
    </row>
    <row r="945" spans="1:6" s="4" customFormat="1" ht="12">
      <c r="A945" s="106">
        <v>240314</v>
      </c>
      <c r="B945" s="119" t="s">
        <v>1086</v>
      </c>
      <c r="C945" s="103" t="s">
        <v>3119</v>
      </c>
      <c r="D945" s="111" t="s">
        <v>1249</v>
      </c>
      <c r="E945" s="95">
        <v>9636</v>
      </c>
      <c r="F945" s="35">
        <v>0</v>
      </c>
    </row>
    <row r="946" spans="1:6" s="4" customFormat="1" ht="12">
      <c r="A946" s="106">
        <v>240314</v>
      </c>
      <c r="B946" s="119" t="s">
        <v>1086</v>
      </c>
      <c r="C946" s="103" t="s">
        <v>3130</v>
      </c>
      <c r="D946" s="111" t="s">
        <v>1250</v>
      </c>
      <c r="E946" s="95">
        <v>18542</v>
      </c>
      <c r="F946" s="35">
        <v>0</v>
      </c>
    </row>
    <row r="947" spans="1:6" s="4" customFormat="1" ht="12">
      <c r="A947" s="106">
        <v>240314</v>
      </c>
      <c r="B947" s="119" t="s">
        <v>1086</v>
      </c>
      <c r="C947" s="103" t="s">
        <v>1251</v>
      </c>
      <c r="D947" s="111" t="s">
        <v>1252</v>
      </c>
      <c r="E947" s="95">
        <v>12149</v>
      </c>
      <c r="F947" s="35">
        <v>0</v>
      </c>
    </row>
    <row r="948" spans="1:6" s="4" customFormat="1" ht="12">
      <c r="A948" s="106">
        <v>240314</v>
      </c>
      <c r="B948" s="119" t="s">
        <v>1086</v>
      </c>
      <c r="C948" s="103" t="s">
        <v>3157</v>
      </c>
      <c r="D948" s="111" t="s">
        <v>1253</v>
      </c>
      <c r="E948" s="95">
        <v>10643</v>
      </c>
      <c r="F948" s="35">
        <v>0</v>
      </c>
    </row>
    <row r="949" spans="1:6" s="4" customFormat="1" ht="12">
      <c r="A949" s="106">
        <v>240314</v>
      </c>
      <c r="B949" s="119" t="s">
        <v>1086</v>
      </c>
      <c r="C949" s="103" t="s">
        <v>3178</v>
      </c>
      <c r="D949" s="111" t="s">
        <v>1254</v>
      </c>
      <c r="E949" s="95">
        <v>53176</v>
      </c>
      <c r="F949" s="35">
        <v>0</v>
      </c>
    </row>
    <row r="950" spans="1:6" s="4" customFormat="1" ht="12">
      <c r="A950" s="106">
        <v>240314</v>
      </c>
      <c r="B950" s="119" t="s">
        <v>1086</v>
      </c>
      <c r="C950" s="103" t="s">
        <v>3213</v>
      </c>
      <c r="D950" s="111" t="s">
        <v>1255</v>
      </c>
      <c r="E950" s="95">
        <v>6641</v>
      </c>
      <c r="F950" s="35">
        <v>0</v>
      </c>
    </row>
    <row r="951" spans="1:6" s="4" customFormat="1" ht="12">
      <c r="A951" s="106">
        <v>240314</v>
      </c>
      <c r="B951" s="119" t="s">
        <v>1086</v>
      </c>
      <c r="C951" s="103" t="s">
        <v>1256</v>
      </c>
      <c r="D951" s="111" t="s">
        <v>1257</v>
      </c>
      <c r="E951" s="95">
        <v>9021</v>
      </c>
      <c r="F951" s="35">
        <v>0</v>
      </c>
    </row>
    <row r="952" spans="1:6" s="4" customFormat="1" ht="12">
      <c r="A952" s="106">
        <v>240314</v>
      </c>
      <c r="B952" s="119" t="s">
        <v>1086</v>
      </c>
      <c r="C952" s="103" t="s">
        <v>3224</v>
      </c>
      <c r="D952" s="111" t="s">
        <v>1258</v>
      </c>
      <c r="E952" s="95">
        <v>23700</v>
      </c>
      <c r="F952" s="35">
        <v>0</v>
      </c>
    </row>
    <row r="953" spans="1:6" s="4" customFormat="1" ht="12">
      <c r="A953" s="106">
        <v>240314</v>
      </c>
      <c r="B953" s="119" t="s">
        <v>1086</v>
      </c>
      <c r="C953" s="103" t="s">
        <v>3229</v>
      </c>
      <c r="D953" s="111" t="s">
        <v>1259</v>
      </c>
      <c r="E953" s="95">
        <v>11662</v>
      </c>
      <c r="F953" s="35">
        <v>0</v>
      </c>
    </row>
    <row r="954" spans="1:6" s="4" customFormat="1" ht="12">
      <c r="A954" s="106">
        <v>240314</v>
      </c>
      <c r="B954" s="119" t="s">
        <v>1086</v>
      </c>
      <c r="C954" s="103" t="s">
        <v>1260</v>
      </c>
      <c r="D954" s="111" t="s">
        <v>1261</v>
      </c>
      <c r="E954" s="95">
        <v>76407</v>
      </c>
      <c r="F954" s="35">
        <v>0</v>
      </c>
    </row>
    <row r="955" spans="1:6" s="4" customFormat="1" ht="12">
      <c r="A955" s="106">
        <v>240314</v>
      </c>
      <c r="B955" s="119" t="s">
        <v>1086</v>
      </c>
      <c r="C955" s="103" t="s">
        <v>1262</v>
      </c>
      <c r="D955" s="111" t="s">
        <v>1263</v>
      </c>
      <c r="E955" s="95">
        <v>28697</v>
      </c>
      <c r="F955" s="35">
        <v>0</v>
      </c>
    </row>
    <row r="956" spans="1:6" s="4" customFormat="1" ht="12">
      <c r="A956" s="106">
        <v>240314</v>
      </c>
      <c r="B956" s="119" t="s">
        <v>1086</v>
      </c>
      <c r="C956" s="103" t="s">
        <v>1264</v>
      </c>
      <c r="D956" s="111" t="s">
        <v>1265</v>
      </c>
      <c r="E956" s="95">
        <v>3370</v>
      </c>
      <c r="F956" s="35">
        <v>0</v>
      </c>
    </row>
    <row r="957" spans="1:6" s="4" customFormat="1" ht="12">
      <c r="A957" s="106">
        <v>240314</v>
      </c>
      <c r="B957" s="119" t="s">
        <v>1086</v>
      </c>
      <c r="C957" s="103" t="s">
        <v>1266</v>
      </c>
      <c r="D957" s="111" t="s">
        <v>1267</v>
      </c>
      <c r="E957" s="95">
        <v>19111</v>
      </c>
      <c r="F957" s="35">
        <v>0</v>
      </c>
    </row>
    <row r="958" spans="1:6" s="4" customFormat="1" ht="12">
      <c r="A958" s="106">
        <v>240314</v>
      </c>
      <c r="B958" s="119" t="s">
        <v>1086</v>
      </c>
      <c r="C958" s="103" t="s">
        <v>1268</v>
      </c>
      <c r="D958" s="111" t="s">
        <v>1269</v>
      </c>
      <c r="E958" s="95">
        <v>11277</v>
      </c>
      <c r="F958" s="35">
        <v>0</v>
      </c>
    </row>
    <row r="959" spans="1:6" s="4" customFormat="1" ht="12">
      <c r="A959" s="106">
        <v>240314</v>
      </c>
      <c r="B959" s="119" t="s">
        <v>1086</v>
      </c>
      <c r="C959" s="103" t="s">
        <v>1270</v>
      </c>
      <c r="D959" s="111" t="s">
        <v>1271</v>
      </c>
      <c r="E959" s="95">
        <v>8965</v>
      </c>
      <c r="F959" s="35">
        <v>0</v>
      </c>
    </row>
    <row r="960" spans="1:6" s="4" customFormat="1" ht="12">
      <c r="A960" s="106">
        <v>240314</v>
      </c>
      <c r="B960" s="119" t="s">
        <v>1086</v>
      </c>
      <c r="C960" s="103" t="s">
        <v>649</v>
      </c>
      <c r="D960" s="111" t="s">
        <v>1272</v>
      </c>
      <c r="E960" s="95">
        <v>42259</v>
      </c>
      <c r="F960" s="35">
        <v>0</v>
      </c>
    </row>
    <row r="961" spans="1:6" s="4" customFormat="1" ht="12">
      <c r="A961" s="106">
        <v>240314</v>
      </c>
      <c r="B961" s="119" t="s">
        <v>1086</v>
      </c>
      <c r="C961" s="103">
        <v>218505585</v>
      </c>
      <c r="D961" s="111" t="s">
        <v>1273</v>
      </c>
      <c r="E961" s="95">
        <v>18427</v>
      </c>
      <c r="F961" s="35">
        <v>0</v>
      </c>
    </row>
    <row r="962" spans="1:6" s="4" customFormat="1" ht="12">
      <c r="A962" s="106">
        <v>240314</v>
      </c>
      <c r="B962" s="119" t="s">
        <v>1086</v>
      </c>
      <c r="C962" s="103" t="s">
        <v>1274</v>
      </c>
      <c r="D962" s="111" t="s">
        <v>1275</v>
      </c>
      <c r="E962" s="95">
        <v>13844</v>
      </c>
      <c r="F962" s="35">
        <v>0</v>
      </c>
    </row>
    <row r="963" spans="1:6" s="4" customFormat="1" ht="12">
      <c r="A963" s="106">
        <v>240314</v>
      </c>
      <c r="B963" s="119" t="s">
        <v>1086</v>
      </c>
      <c r="C963" s="103" t="s">
        <v>689</v>
      </c>
      <c r="D963" s="111" t="s">
        <v>1276</v>
      </c>
      <c r="E963" s="95">
        <v>24600</v>
      </c>
      <c r="F963" s="35">
        <v>0</v>
      </c>
    </row>
    <row r="964" spans="1:6" s="4" customFormat="1" ht="12">
      <c r="A964" s="106">
        <v>240314</v>
      </c>
      <c r="B964" s="119" t="s">
        <v>1086</v>
      </c>
      <c r="C964" s="103" t="s">
        <v>695</v>
      </c>
      <c r="D964" s="111" t="s">
        <v>1277</v>
      </c>
      <c r="E964" s="95">
        <v>14311</v>
      </c>
      <c r="F964" s="35">
        <v>0</v>
      </c>
    </row>
    <row r="965" spans="1:6" s="4" customFormat="1" ht="12">
      <c r="A965" s="106">
        <v>240314</v>
      </c>
      <c r="B965" s="119" t="s">
        <v>1086</v>
      </c>
      <c r="C965" s="103" t="s">
        <v>702</v>
      </c>
      <c r="D965" s="111" t="s">
        <v>1278</v>
      </c>
      <c r="E965" s="95">
        <v>101530</v>
      </c>
      <c r="F965" s="35">
        <v>0</v>
      </c>
    </row>
    <row r="966" spans="1:6" s="4" customFormat="1" ht="12">
      <c r="A966" s="106">
        <v>240314</v>
      </c>
      <c r="B966" s="119" t="s">
        <v>1086</v>
      </c>
      <c r="C966" s="103" t="s">
        <v>719</v>
      </c>
      <c r="D966" s="111" t="s">
        <v>1279</v>
      </c>
      <c r="E966" s="95">
        <v>9562</v>
      </c>
      <c r="F966" s="35">
        <v>0</v>
      </c>
    </row>
    <row r="967" spans="1:6" s="4" customFormat="1" ht="12">
      <c r="A967" s="106">
        <v>240314</v>
      </c>
      <c r="B967" s="119" t="s">
        <v>1086</v>
      </c>
      <c r="C967" s="103" t="s">
        <v>722</v>
      </c>
      <c r="D967" s="111" t="s">
        <v>1280</v>
      </c>
      <c r="E967" s="95">
        <v>37087</v>
      </c>
      <c r="F967" s="35">
        <v>0</v>
      </c>
    </row>
    <row r="968" spans="1:6" s="4" customFormat="1" ht="12">
      <c r="A968" s="106">
        <v>240314</v>
      </c>
      <c r="B968" s="119" t="s">
        <v>1086</v>
      </c>
      <c r="C968" s="103" t="s">
        <v>737</v>
      </c>
      <c r="D968" s="111" t="s">
        <v>1281</v>
      </c>
      <c r="E968" s="95">
        <v>16813</v>
      </c>
      <c r="F968" s="35">
        <v>0</v>
      </c>
    </row>
    <row r="969" spans="1:6" s="4" customFormat="1" ht="12">
      <c r="A969" s="106">
        <v>240314</v>
      </c>
      <c r="B969" s="119" t="s">
        <v>1086</v>
      </c>
      <c r="C969" s="103" t="s">
        <v>756</v>
      </c>
      <c r="D969" s="111" t="s">
        <v>1282</v>
      </c>
      <c r="E969" s="95">
        <v>16415</v>
      </c>
      <c r="F969" s="35">
        <v>0</v>
      </c>
    </row>
    <row r="970" spans="1:6" s="4" customFormat="1" ht="12">
      <c r="A970" s="106">
        <v>240314</v>
      </c>
      <c r="B970" s="119" t="s">
        <v>1086</v>
      </c>
      <c r="C970" s="103" t="s">
        <v>1283</v>
      </c>
      <c r="D970" s="111" t="s">
        <v>1284</v>
      </c>
      <c r="E970" s="95">
        <v>7182</v>
      </c>
      <c r="F970" s="35">
        <v>0</v>
      </c>
    </row>
    <row r="971" spans="1:6" s="4" customFormat="1" ht="12">
      <c r="A971" s="106">
        <v>240314</v>
      </c>
      <c r="B971" s="119" t="s">
        <v>1086</v>
      </c>
      <c r="C971" s="103" t="s">
        <v>1285</v>
      </c>
      <c r="D971" s="111" t="s">
        <v>1286</v>
      </c>
      <c r="E971" s="95">
        <v>14366</v>
      </c>
      <c r="F971" s="35">
        <v>0</v>
      </c>
    </row>
    <row r="972" spans="1:6" s="4" customFormat="1" ht="12">
      <c r="A972" s="106">
        <v>240314</v>
      </c>
      <c r="B972" s="119" t="s">
        <v>1086</v>
      </c>
      <c r="C972" s="103" t="s">
        <v>1287</v>
      </c>
      <c r="D972" s="111" t="s">
        <v>1288</v>
      </c>
      <c r="E972" s="95">
        <v>3725</v>
      </c>
      <c r="F972" s="35">
        <v>0</v>
      </c>
    </row>
    <row r="973" spans="1:6" s="4" customFormat="1" ht="12">
      <c r="A973" s="106">
        <v>240314</v>
      </c>
      <c r="B973" s="119" t="s">
        <v>1086</v>
      </c>
      <c r="C973" s="103" t="s">
        <v>1289</v>
      </c>
      <c r="D973" s="111" t="s">
        <v>1290</v>
      </c>
      <c r="E973" s="95">
        <v>42371</v>
      </c>
      <c r="F973" s="35">
        <v>0</v>
      </c>
    </row>
    <row r="974" spans="1:6" s="4" customFormat="1" ht="12">
      <c r="A974" s="106">
        <v>240314</v>
      </c>
      <c r="B974" s="119" t="s">
        <v>1086</v>
      </c>
      <c r="C974" s="103" t="s">
        <v>786</v>
      </c>
      <c r="D974" s="111" t="s">
        <v>1291</v>
      </c>
      <c r="E974" s="95">
        <v>12834</v>
      </c>
      <c r="F974" s="35">
        <v>0</v>
      </c>
    </row>
    <row r="975" spans="1:6" s="4" customFormat="1" ht="12">
      <c r="A975" s="106">
        <v>240314</v>
      </c>
      <c r="B975" s="119" t="s">
        <v>1086</v>
      </c>
      <c r="C975" s="103" t="s">
        <v>796</v>
      </c>
      <c r="D975" s="111" t="s">
        <v>1292</v>
      </c>
      <c r="E975" s="95">
        <v>26358</v>
      </c>
      <c r="F975" s="35">
        <v>0</v>
      </c>
    </row>
    <row r="976" spans="1:6" s="4" customFormat="1" ht="12">
      <c r="A976" s="106">
        <v>240314</v>
      </c>
      <c r="B976" s="119" t="s">
        <v>1086</v>
      </c>
      <c r="C976" s="103" t="s">
        <v>798</v>
      </c>
      <c r="D976" s="111" t="s">
        <v>1293</v>
      </c>
      <c r="E976" s="95">
        <v>38249</v>
      </c>
      <c r="F976" s="35">
        <v>0</v>
      </c>
    </row>
    <row r="977" spans="1:6" s="4" customFormat="1" ht="12">
      <c r="A977" s="106">
        <v>240314</v>
      </c>
      <c r="B977" s="119" t="s">
        <v>1086</v>
      </c>
      <c r="C977" s="103" t="s">
        <v>802</v>
      </c>
      <c r="D977" s="111" t="s">
        <v>1294</v>
      </c>
      <c r="E977" s="95">
        <v>14596</v>
      </c>
      <c r="F977" s="35">
        <v>0</v>
      </c>
    </row>
    <row r="978" spans="1:6" s="4" customFormat="1" ht="12">
      <c r="A978" s="106">
        <v>240314</v>
      </c>
      <c r="B978" s="119" t="s">
        <v>1086</v>
      </c>
      <c r="C978" s="103" t="s">
        <v>804</v>
      </c>
      <c r="D978" s="111" t="s">
        <v>1295</v>
      </c>
      <c r="E978" s="95">
        <v>22842</v>
      </c>
      <c r="F978" s="35">
        <v>0</v>
      </c>
    </row>
    <row r="979" spans="1:6" s="4" customFormat="1" ht="12">
      <c r="A979" s="106">
        <v>240314</v>
      </c>
      <c r="B979" s="119" t="s">
        <v>1086</v>
      </c>
      <c r="C979" s="103" t="s">
        <v>806</v>
      </c>
      <c r="D979" s="111" t="s">
        <v>1296</v>
      </c>
      <c r="E979" s="95">
        <v>20290</v>
      </c>
      <c r="F979" s="35">
        <v>0</v>
      </c>
    </row>
    <row r="980" spans="1:6" s="4" customFormat="1" ht="12">
      <c r="A980" s="106">
        <v>240314</v>
      </c>
      <c r="B980" s="119" t="s">
        <v>1086</v>
      </c>
      <c r="C980" s="103" t="s">
        <v>1297</v>
      </c>
      <c r="D980" s="111" t="s">
        <v>1298</v>
      </c>
      <c r="E980" s="95">
        <v>26837</v>
      </c>
      <c r="F980" s="35">
        <v>0</v>
      </c>
    </row>
    <row r="981" spans="1:6" s="4" customFormat="1" ht="12">
      <c r="A981" s="106">
        <v>240314</v>
      </c>
      <c r="B981" s="119" t="s">
        <v>1086</v>
      </c>
      <c r="C981" s="103" t="s">
        <v>820</v>
      </c>
      <c r="D981" s="111" t="s">
        <v>1299</v>
      </c>
      <c r="E981" s="95">
        <v>36254</v>
      </c>
      <c r="F981" s="35">
        <v>0</v>
      </c>
    </row>
    <row r="982" spans="1:6" s="4" customFormat="1" ht="12">
      <c r="A982" s="106">
        <v>240314</v>
      </c>
      <c r="B982" s="119" t="s">
        <v>1086</v>
      </c>
      <c r="C982" s="103" t="s">
        <v>3237</v>
      </c>
      <c r="D982" s="111" t="s">
        <v>1300</v>
      </c>
      <c r="E982" s="95">
        <v>14736</v>
      </c>
      <c r="F982" s="35">
        <v>0</v>
      </c>
    </row>
    <row r="983" spans="1:6" s="4" customFormat="1" ht="12">
      <c r="A983" s="106">
        <v>240314</v>
      </c>
      <c r="B983" s="119" t="s">
        <v>1086</v>
      </c>
      <c r="C983" s="103" t="s">
        <v>2943</v>
      </c>
      <c r="D983" s="111" t="s">
        <v>1301</v>
      </c>
      <c r="E983" s="95">
        <v>30694</v>
      </c>
      <c r="F983" s="35">
        <v>0</v>
      </c>
    </row>
    <row r="984" spans="1:6" s="4" customFormat="1" ht="12">
      <c r="A984" s="106">
        <v>240314</v>
      </c>
      <c r="B984" s="119" t="s">
        <v>1086</v>
      </c>
      <c r="C984" s="103" t="s">
        <v>1302</v>
      </c>
      <c r="D984" s="111" t="s">
        <v>1303</v>
      </c>
      <c r="E984" s="95">
        <v>33037</v>
      </c>
      <c r="F984" s="35">
        <v>0</v>
      </c>
    </row>
    <row r="985" spans="1:6" s="4" customFormat="1" ht="12">
      <c r="A985" s="106">
        <v>240314</v>
      </c>
      <c r="B985" s="119" t="s">
        <v>1086</v>
      </c>
      <c r="C985" s="103" t="s">
        <v>3276</v>
      </c>
      <c r="D985" s="111" t="s">
        <v>1304</v>
      </c>
      <c r="E985" s="95">
        <v>42390</v>
      </c>
      <c r="F985" s="35">
        <v>0</v>
      </c>
    </row>
    <row r="986" spans="1:6" s="4" customFormat="1" ht="12">
      <c r="A986" s="106">
        <v>240314</v>
      </c>
      <c r="B986" s="119" t="s">
        <v>1086</v>
      </c>
      <c r="C986" s="103" t="s">
        <v>1305</v>
      </c>
      <c r="D986" s="111" t="s">
        <v>1306</v>
      </c>
      <c r="E986" s="95">
        <v>17937</v>
      </c>
      <c r="F986" s="35">
        <v>0</v>
      </c>
    </row>
    <row r="987" spans="1:6" s="4" customFormat="1" ht="12">
      <c r="A987" s="106">
        <v>240314</v>
      </c>
      <c r="B987" s="119" t="s">
        <v>1086</v>
      </c>
      <c r="C987" s="103" t="s">
        <v>1307</v>
      </c>
      <c r="D987" s="111" t="s">
        <v>1308</v>
      </c>
      <c r="E987" s="95">
        <v>18643</v>
      </c>
      <c r="F987" s="35">
        <v>0</v>
      </c>
    </row>
    <row r="988" spans="1:6" s="4" customFormat="1" ht="12">
      <c r="A988" s="106">
        <v>240314</v>
      </c>
      <c r="B988" s="119" t="s">
        <v>1086</v>
      </c>
      <c r="C988" s="103">
        <v>219005790</v>
      </c>
      <c r="D988" s="111" t="s">
        <v>1309</v>
      </c>
      <c r="E988" s="95">
        <v>34529</v>
      </c>
      <c r="F988" s="35">
        <v>0</v>
      </c>
    </row>
    <row r="989" spans="1:6" s="4" customFormat="1" ht="12">
      <c r="A989" s="106">
        <v>240314</v>
      </c>
      <c r="B989" s="119" t="s">
        <v>1086</v>
      </c>
      <c r="C989" s="103" t="s">
        <v>3316</v>
      </c>
      <c r="D989" s="111" t="s">
        <v>1310</v>
      </c>
      <c r="E989" s="95">
        <v>7374</v>
      </c>
      <c r="F989" s="35">
        <v>0</v>
      </c>
    </row>
    <row r="990" spans="1:6" s="4" customFormat="1" ht="12">
      <c r="A990" s="106">
        <v>240314</v>
      </c>
      <c r="B990" s="119" t="s">
        <v>1086</v>
      </c>
      <c r="C990" s="103" t="s">
        <v>3345</v>
      </c>
      <c r="D990" s="111" t="s">
        <v>1311</v>
      </c>
      <c r="E990" s="95">
        <v>11787</v>
      </c>
      <c r="F990" s="35">
        <v>0</v>
      </c>
    </row>
    <row r="991" spans="1:6" s="4" customFormat="1" ht="12">
      <c r="A991" s="106">
        <v>240314</v>
      </c>
      <c r="B991" s="119" t="s">
        <v>1086</v>
      </c>
      <c r="C991" s="103" t="s">
        <v>3353</v>
      </c>
      <c r="D991" s="111" t="s">
        <v>1312</v>
      </c>
      <c r="E991" s="95">
        <v>7647</v>
      </c>
      <c r="F991" s="35">
        <v>0</v>
      </c>
    </row>
    <row r="992" spans="1:6" s="4" customFormat="1" ht="12">
      <c r="A992" s="106">
        <v>240314</v>
      </c>
      <c r="B992" s="119" t="s">
        <v>1086</v>
      </c>
      <c r="C992" s="103" t="s">
        <v>3381</v>
      </c>
      <c r="D992" s="111" t="s">
        <v>1313</v>
      </c>
      <c r="E992" s="95">
        <v>9967</v>
      </c>
      <c r="F992" s="35">
        <v>0</v>
      </c>
    </row>
    <row r="993" spans="1:6" s="4" customFormat="1" ht="12">
      <c r="A993" s="106">
        <v>240314</v>
      </c>
      <c r="B993" s="119" t="s">
        <v>1086</v>
      </c>
      <c r="C993" s="103" t="s">
        <v>3385</v>
      </c>
      <c r="D993" s="111" t="s">
        <v>1314</v>
      </c>
      <c r="E993" s="95">
        <v>36318</v>
      </c>
      <c r="F993" s="35">
        <v>0</v>
      </c>
    </row>
    <row r="994" spans="1:6" s="4" customFormat="1" ht="12">
      <c r="A994" s="106">
        <v>240314</v>
      </c>
      <c r="B994" s="119" t="s">
        <v>1086</v>
      </c>
      <c r="C994" s="103" t="s">
        <v>3391</v>
      </c>
      <c r="D994" s="111" t="s">
        <v>1315</v>
      </c>
      <c r="E994" s="95">
        <v>17904</v>
      </c>
      <c r="F994" s="35">
        <v>0</v>
      </c>
    </row>
    <row r="995" spans="1:6" s="4" customFormat="1" ht="12">
      <c r="A995" s="106">
        <v>240314</v>
      </c>
      <c r="B995" s="119" t="s">
        <v>1086</v>
      </c>
      <c r="C995" s="103" t="s">
        <v>3399</v>
      </c>
      <c r="D995" s="111" t="s">
        <v>1316</v>
      </c>
      <c r="E995" s="95">
        <v>7050</v>
      </c>
      <c r="F995" s="35">
        <v>0</v>
      </c>
    </row>
    <row r="996" spans="1:6" s="4" customFormat="1" ht="12">
      <c r="A996" s="106">
        <v>240314</v>
      </c>
      <c r="B996" s="119" t="s">
        <v>1086</v>
      </c>
      <c r="C996" s="103" t="s">
        <v>1317</v>
      </c>
      <c r="D996" s="111" t="s">
        <v>1318</v>
      </c>
      <c r="E996" s="95">
        <v>11239</v>
      </c>
      <c r="F996" s="35">
        <v>0</v>
      </c>
    </row>
    <row r="997" spans="1:6" s="4" customFormat="1" ht="12">
      <c r="A997" s="106">
        <v>240314</v>
      </c>
      <c r="B997" s="119" t="s">
        <v>1086</v>
      </c>
      <c r="C997" s="103" t="s">
        <v>3404</v>
      </c>
      <c r="D997" s="111" t="s">
        <v>1319</v>
      </c>
      <c r="E997" s="95">
        <v>15198</v>
      </c>
      <c r="F997" s="35">
        <v>0</v>
      </c>
    </row>
    <row r="998" spans="1:6" s="4" customFormat="1" ht="12">
      <c r="A998" s="106">
        <v>240314</v>
      </c>
      <c r="B998" s="119" t="s">
        <v>1086</v>
      </c>
      <c r="C998" s="103" t="s">
        <v>3415</v>
      </c>
      <c r="D998" s="111" t="s">
        <v>1320</v>
      </c>
      <c r="E998" s="95">
        <v>24349</v>
      </c>
      <c r="F998" s="35">
        <v>0</v>
      </c>
    </row>
    <row r="999" spans="1:6" s="4" customFormat="1" ht="12">
      <c r="A999" s="106">
        <v>240314</v>
      </c>
      <c r="B999" s="119" t="s">
        <v>1086</v>
      </c>
      <c r="C999" s="103" t="s">
        <v>1030</v>
      </c>
      <c r="D999" s="111" t="s">
        <v>1321</v>
      </c>
      <c r="E999" s="95">
        <v>8125</v>
      </c>
      <c r="F999" s="35">
        <v>0</v>
      </c>
    </row>
    <row r="1000" spans="1:6" s="4" customFormat="1" ht="12">
      <c r="A1000" s="106">
        <v>240314</v>
      </c>
      <c r="B1000" s="119" t="s">
        <v>1086</v>
      </c>
      <c r="C1000" s="103" t="s">
        <v>1322</v>
      </c>
      <c r="D1000" s="111" t="s">
        <v>1323</v>
      </c>
      <c r="E1000" s="95">
        <v>45922</v>
      </c>
      <c r="F1000" s="35">
        <v>0</v>
      </c>
    </row>
    <row r="1001" spans="1:6" s="4" customFormat="1" ht="12">
      <c r="A1001" s="106">
        <v>240314</v>
      </c>
      <c r="B1001" s="119" t="s">
        <v>1086</v>
      </c>
      <c r="C1001" s="103" t="s">
        <v>1032</v>
      </c>
      <c r="D1001" s="111" t="s">
        <v>1324</v>
      </c>
      <c r="E1001" s="95">
        <v>22492</v>
      </c>
      <c r="F1001" s="35">
        <v>0</v>
      </c>
    </row>
    <row r="1002" spans="1:6" s="4" customFormat="1" ht="12">
      <c r="A1002" s="106">
        <v>240314</v>
      </c>
      <c r="B1002" s="119" t="s">
        <v>1086</v>
      </c>
      <c r="C1002" s="103" t="s">
        <v>1325</v>
      </c>
      <c r="D1002" s="111" t="s">
        <v>1326</v>
      </c>
      <c r="E1002" s="95">
        <v>19190</v>
      </c>
      <c r="F1002" s="35">
        <v>0</v>
      </c>
    </row>
    <row r="1003" spans="1:6" s="4" customFormat="1" ht="12">
      <c r="A1003" s="106">
        <v>240314</v>
      </c>
      <c r="B1003" s="119" t="s">
        <v>1086</v>
      </c>
      <c r="C1003" s="103" t="s">
        <v>1327</v>
      </c>
      <c r="D1003" s="111" t="s">
        <v>1328</v>
      </c>
      <c r="E1003" s="95">
        <v>36956</v>
      </c>
      <c r="F1003" s="35">
        <v>0</v>
      </c>
    </row>
    <row r="1004" spans="1:6" s="4" customFormat="1" ht="12">
      <c r="A1004" s="106">
        <v>240314</v>
      </c>
      <c r="B1004" s="119" t="s">
        <v>1086</v>
      </c>
      <c r="C1004" s="103" t="s">
        <v>1329</v>
      </c>
      <c r="D1004" s="111" t="s">
        <v>1330</v>
      </c>
      <c r="E1004" s="95">
        <v>65965</v>
      </c>
      <c r="F1004" s="35">
        <v>0</v>
      </c>
    </row>
    <row r="1005" spans="1:6" s="4" customFormat="1" ht="12">
      <c r="A1005" s="106">
        <v>240314</v>
      </c>
      <c r="B1005" s="119" t="s">
        <v>1086</v>
      </c>
      <c r="C1005" s="103" t="s">
        <v>394</v>
      </c>
      <c r="D1005" s="111" t="s">
        <v>1331</v>
      </c>
      <c r="E1005" s="95">
        <v>29622</v>
      </c>
      <c r="F1005" s="35">
        <v>0</v>
      </c>
    </row>
    <row r="1006" spans="1:6" s="4" customFormat="1" ht="12">
      <c r="A1006" s="106">
        <v>240314</v>
      </c>
      <c r="B1006" s="119" t="s">
        <v>1086</v>
      </c>
      <c r="C1006" s="103" t="s">
        <v>1332</v>
      </c>
      <c r="D1006" s="111" t="s">
        <v>1333</v>
      </c>
      <c r="E1006" s="95">
        <v>18367</v>
      </c>
      <c r="F1006" s="35">
        <v>0</v>
      </c>
    </row>
    <row r="1007" spans="1:6" s="4" customFormat="1" ht="12">
      <c r="A1007" s="106">
        <v>240314</v>
      </c>
      <c r="B1007" s="119" t="s">
        <v>1086</v>
      </c>
      <c r="C1007" s="103" t="s">
        <v>1334</v>
      </c>
      <c r="D1007" s="111" t="s">
        <v>1335</v>
      </c>
      <c r="E1007" s="95">
        <v>37147</v>
      </c>
      <c r="F1007" s="35">
        <v>0</v>
      </c>
    </row>
    <row r="1008" spans="1:6" s="4" customFormat="1" ht="12">
      <c r="A1008" s="106">
        <v>240314</v>
      </c>
      <c r="B1008" s="119" t="s">
        <v>1086</v>
      </c>
      <c r="C1008" s="103" t="s">
        <v>3090</v>
      </c>
      <c r="D1008" s="111" t="s">
        <v>1336</v>
      </c>
      <c r="E1008" s="95">
        <v>18251</v>
      </c>
      <c r="F1008" s="35">
        <v>0</v>
      </c>
    </row>
    <row r="1009" spans="1:6" s="4" customFormat="1" ht="12">
      <c r="A1009" s="106">
        <v>240314</v>
      </c>
      <c r="B1009" s="119" t="s">
        <v>1086</v>
      </c>
      <c r="C1009" s="103" t="s">
        <v>1337</v>
      </c>
      <c r="D1009" s="111" t="s">
        <v>1338</v>
      </c>
      <c r="E1009" s="95">
        <v>33942</v>
      </c>
      <c r="F1009" s="35">
        <v>0</v>
      </c>
    </row>
    <row r="1010" spans="1:6" s="4" customFormat="1" ht="12">
      <c r="A1010" s="106">
        <v>240314</v>
      </c>
      <c r="B1010" s="119" t="s">
        <v>1086</v>
      </c>
      <c r="C1010" s="103" t="s">
        <v>1339</v>
      </c>
      <c r="D1010" s="111" t="s">
        <v>1340</v>
      </c>
      <c r="E1010" s="95">
        <v>86093</v>
      </c>
      <c r="F1010" s="35">
        <v>0</v>
      </c>
    </row>
    <row r="1011" spans="1:6" s="4" customFormat="1" ht="12">
      <c r="A1011" s="106">
        <v>240314</v>
      </c>
      <c r="B1011" s="119" t="s">
        <v>1086</v>
      </c>
      <c r="C1011" s="103" t="s">
        <v>1341</v>
      </c>
      <c r="D1011" s="111" t="s">
        <v>1342</v>
      </c>
      <c r="E1011" s="95">
        <v>28399</v>
      </c>
      <c r="F1011" s="35">
        <v>0</v>
      </c>
    </row>
    <row r="1012" spans="1:6" s="4" customFormat="1" ht="12">
      <c r="A1012" s="106">
        <v>240314</v>
      </c>
      <c r="B1012" s="119" t="s">
        <v>1086</v>
      </c>
      <c r="C1012" s="103" t="s">
        <v>1343</v>
      </c>
      <c r="D1012" s="111" t="s">
        <v>1344</v>
      </c>
      <c r="E1012" s="95">
        <v>25277</v>
      </c>
      <c r="F1012" s="35">
        <v>0</v>
      </c>
    </row>
    <row r="1013" spans="1:6" s="4" customFormat="1" ht="12">
      <c r="A1013" s="106">
        <v>240314</v>
      </c>
      <c r="B1013" s="119" t="s">
        <v>1086</v>
      </c>
      <c r="C1013" s="103" t="s">
        <v>1345</v>
      </c>
      <c r="D1013" s="111" t="s">
        <v>1346</v>
      </c>
      <c r="E1013" s="95">
        <v>6531</v>
      </c>
      <c r="F1013" s="35">
        <v>0</v>
      </c>
    </row>
    <row r="1014" spans="1:6" s="4" customFormat="1" ht="12">
      <c r="A1014" s="106">
        <v>240314</v>
      </c>
      <c r="B1014" s="119" t="s">
        <v>1086</v>
      </c>
      <c r="C1014" s="103" t="s">
        <v>637</v>
      </c>
      <c r="D1014" s="111" t="s">
        <v>1347</v>
      </c>
      <c r="E1014" s="95">
        <v>15571</v>
      </c>
      <c r="F1014" s="35">
        <v>0</v>
      </c>
    </row>
    <row r="1015" spans="1:6" s="4" customFormat="1" ht="12">
      <c r="A1015" s="106">
        <v>240314</v>
      </c>
      <c r="B1015" s="119" t="s">
        <v>1086</v>
      </c>
      <c r="C1015" s="103" t="s">
        <v>1348</v>
      </c>
      <c r="D1015" s="111" t="s">
        <v>1349</v>
      </c>
      <c r="E1015" s="95">
        <v>25344</v>
      </c>
      <c r="F1015" s="35">
        <v>0</v>
      </c>
    </row>
    <row r="1016" spans="1:6" s="4" customFormat="1" ht="12">
      <c r="A1016" s="106">
        <v>240314</v>
      </c>
      <c r="B1016" s="119" t="s">
        <v>1086</v>
      </c>
      <c r="C1016" s="103" t="s">
        <v>1350</v>
      </c>
      <c r="D1016" s="111" t="s">
        <v>1351</v>
      </c>
      <c r="E1016" s="95">
        <v>25466</v>
      </c>
      <c r="F1016" s="35">
        <v>0</v>
      </c>
    </row>
    <row r="1017" spans="1:6" s="4" customFormat="1" ht="12">
      <c r="A1017" s="106">
        <v>240314</v>
      </c>
      <c r="B1017" s="119" t="s">
        <v>1086</v>
      </c>
      <c r="C1017" s="103" t="s">
        <v>692</v>
      </c>
      <c r="D1017" s="111" t="s">
        <v>1352</v>
      </c>
      <c r="E1017" s="95">
        <v>31320</v>
      </c>
      <c r="F1017" s="35">
        <v>0</v>
      </c>
    </row>
    <row r="1018" spans="1:6" s="4" customFormat="1" ht="12">
      <c r="A1018" s="106">
        <v>240314</v>
      </c>
      <c r="B1018" s="119" t="s">
        <v>1086</v>
      </c>
      <c r="C1018" s="103" t="s">
        <v>716</v>
      </c>
      <c r="D1018" s="111" t="s">
        <v>1353</v>
      </c>
      <c r="E1018" s="95">
        <v>33365</v>
      </c>
      <c r="F1018" s="35">
        <v>0</v>
      </c>
    </row>
    <row r="1019" spans="1:6" s="4" customFormat="1" ht="12">
      <c r="A1019" s="106">
        <v>240314</v>
      </c>
      <c r="B1019" s="119" t="s">
        <v>1086</v>
      </c>
      <c r="C1019" s="103" t="s">
        <v>1354</v>
      </c>
      <c r="D1019" s="111" t="s">
        <v>1279</v>
      </c>
      <c r="E1019" s="95">
        <v>98475</v>
      </c>
      <c r="F1019" s="35">
        <v>0</v>
      </c>
    </row>
    <row r="1020" spans="1:6" s="4" customFormat="1" ht="12">
      <c r="A1020" s="106">
        <v>240314</v>
      </c>
      <c r="B1020" s="119" t="s">
        <v>1086</v>
      </c>
      <c r="C1020" s="103" t="s">
        <v>1355</v>
      </c>
      <c r="D1020" s="111" t="s">
        <v>1356</v>
      </c>
      <c r="E1020" s="95">
        <v>17432</v>
      </c>
      <c r="F1020" s="35">
        <v>0</v>
      </c>
    </row>
    <row r="1021" spans="1:6" s="4" customFormat="1" ht="12">
      <c r="A1021" s="106">
        <v>240314</v>
      </c>
      <c r="B1021" s="119" t="s">
        <v>1086</v>
      </c>
      <c r="C1021" s="103" t="s">
        <v>1357</v>
      </c>
      <c r="D1021" s="111" t="s">
        <v>1358</v>
      </c>
      <c r="E1021" s="95">
        <v>25817</v>
      </c>
      <c r="F1021" s="35">
        <v>0</v>
      </c>
    </row>
    <row r="1022" spans="1:6" s="4" customFormat="1" ht="12">
      <c r="A1022" s="106">
        <v>240314</v>
      </c>
      <c r="B1022" s="119" t="s">
        <v>1086</v>
      </c>
      <c r="C1022" s="103" t="s">
        <v>3288</v>
      </c>
      <c r="D1022" s="111" t="s">
        <v>1359</v>
      </c>
      <c r="E1022" s="95">
        <v>13848</v>
      </c>
      <c r="F1022" s="35">
        <v>0</v>
      </c>
    </row>
    <row r="1023" spans="1:6" s="4" customFormat="1" ht="12">
      <c r="A1023" s="106">
        <v>240314</v>
      </c>
      <c r="B1023" s="119" t="s">
        <v>1086</v>
      </c>
      <c r="C1023" s="103" t="s">
        <v>1360</v>
      </c>
      <c r="D1023" s="111" t="s">
        <v>1361</v>
      </c>
      <c r="E1023" s="95">
        <v>11536</v>
      </c>
      <c r="F1023" s="35">
        <v>0</v>
      </c>
    </row>
    <row r="1024" spans="1:6" s="4" customFormat="1" ht="12">
      <c r="A1024" s="106">
        <v>240314</v>
      </c>
      <c r="B1024" s="119" t="s">
        <v>1086</v>
      </c>
      <c r="C1024" s="103" t="s">
        <v>3387</v>
      </c>
      <c r="D1024" s="111" t="s">
        <v>1362</v>
      </c>
      <c r="E1024" s="95">
        <v>9196</v>
      </c>
      <c r="F1024" s="35">
        <v>0</v>
      </c>
    </row>
    <row r="1025" spans="1:6" s="4" customFormat="1" ht="12">
      <c r="A1025" s="106">
        <v>240314</v>
      </c>
      <c r="B1025" s="119" t="s">
        <v>1086</v>
      </c>
      <c r="C1025" s="103" t="s">
        <v>1363</v>
      </c>
      <c r="D1025" s="111" t="s">
        <v>1364</v>
      </c>
      <c r="E1025" s="95">
        <v>46672</v>
      </c>
      <c r="F1025" s="35">
        <v>0</v>
      </c>
    </row>
    <row r="1026" spans="1:6" s="4" customFormat="1" ht="12">
      <c r="A1026" s="106">
        <v>240314</v>
      </c>
      <c r="B1026" s="119" t="s">
        <v>1086</v>
      </c>
      <c r="C1026" s="103">
        <v>213013030</v>
      </c>
      <c r="D1026" s="111" t="s">
        <v>1365</v>
      </c>
      <c r="E1026" s="95">
        <v>21305</v>
      </c>
      <c r="F1026" s="35">
        <v>0</v>
      </c>
    </row>
    <row r="1027" spans="1:6" s="4" customFormat="1" ht="12">
      <c r="A1027" s="106">
        <v>240314</v>
      </c>
      <c r="B1027" s="119" t="s">
        <v>1086</v>
      </c>
      <c r="C1027" s="103" t="s">
        <v>1366</v>
      </c>
      <c r="D1027" s="111" t="s">
        <v>1367</v>
      </c>
      <c r="E1027" s="95">
        <v>15559</v>
      </c>
      <c r="F1027" s="35">
        <v>0</v>
      </c>
    </row>
    <row r="1028" spans="1:6" s="4" customFormat="1" ht="12">
      <c r="A1028" s="106">
        <v>240314</v>
      </c>
      <c r="B1028" s="119" t="s">
        <v>1086</v>
      </c>
      <c r="C1028" s="103" t="s">
        <v>1368</v>
      </c>
      <c r="D1028" s="111" t="s">
        <v>1369</v>
      </c>
      <c r="E1028" s="95">
        <v>86385</v>
      </c>
      <c r="F1028" s="35">
        <v>0</v>
      </c>
    </row>
    <row r="1029" spans="1:6" s="4" customFormat="1" ht="12">
      <c r="A1029" s="106">
        <v>240314</v>
      </c>
      <c r="B1029" s="119" t="s">
        <v>1086</v>
      </c>
      <c r="C1029" s="103" t="s">
        <v>1370</v>
      </c>
      <c r="D1029" s="111" t="s">
        <v>1371</v>
      </c>
      <c r="E1029" s="95">
        <v>10431</v>
      </c>
      <c r="F1029" s="35">
        <v>0</v>
      </c>
    </row>
    <row r="1030" spans="1:6" s="4" customFormat="1" ht="12">
      <c r="A1030" s="106">
        <v>240314</v>
      </c>
      <c r="B1030" s="119" t="s">
        <v>1086</v>
      </c>
      <c r="C1030" s="103">
        <v>217413074</v>
      </c>
      <c r="D1030" s="111" t="s">
        <v>1372</v>
      </c>
      <c r="E1030" s="95">
        <v>36927</v>
      </c>
      <c r="F1030" s="35">
        <v>0</v>
      </c>
    </row>
    <row r="1031" spans="1:6" s="4" customFormat="1" ht="12">
      <c r="A1031" s="106">
        <v>240314</v>
      </c>
      <c r="B1031" s="119" t="s">
        <v>1086</v>
      </c>
      <c r="C1031" s="103">
        <v>214013140</v>
      </c>
      <c r="D1031" s="111" t="s">
        <v>1373</v>
      </c>
      <c r="E1031" s="95">
        <v>37184</v>
      </c>
      <c r="F1031" s="35">
        <v>0</v>
      </c>
    </row>
    <row r="1032" spans="1:6" s="4" customFormat="1" ht="12">
      <c r="A1032" s="106">
        <v>240314</v>
      </c>
      <c r="B1032" s="119" t="s">
        <v>1086</v>
      </c>
      <c r="C1032" s="103" t="s">
        <v>401</v>
      </c>
      <c r="D1032" s="111" t="s">
        <v>1374</v>
      </c>
      <c r="E1032" s="95">
        <v>15432</v>
      </c>
      <c r="F1032" s="35">
        <v>0</v>
      </c>
    </row>
    <row r="1033" spans="1:6" s="4" customFormat="1" ht="12">
      <c r="A1033" s="106">
        <v>240314</v>
      </c>
      <c r="B1033" s="119" t="s">
        <v>1086</v>
      </c>
      <c r="C1033" s="103" t="s">
        <v>1375</v>
      </c>
      <c r="D1033" s="111" t="s">
        <v>1376</v>
      </c>
      <c r="E1033" s="95">
        <v>22193</v>
      </c>
      <c r="F1033" s="35">
        <v>0</v>
      </c>
    </row>
    <row r="1034" spans="1:6" s="4" customFormat="1" ht="12">
      <c r="A1034" s="106">
        <v>240314</v>
      </c>
      <c r="B1034" s="119" t="s">
        <v>1086</v>
      </c>
      <c r="C1034" s="103" t="s">
        <v>1377</v>
      </c>
      <c r="D1034" s="111" t="s">
        <v>1096</v>
      </c>
      <c r="E1034" s="95">
        <v>28351</v>
      </c>
      <c r="F1034" s="35">
        <v>0</v>
      </c>
    </row>
    <row r="1035" spans="1:6" s="4" customFormat="1" ht="12">
      <c r="A1035" s="106">
        <v>240314</v>
      </c>
      <c r="B1035" s="119" t="s">
        <v>1086</v>
      </c>
      <c r="C1035" s="103" t="s">
        <v>1378</v>
      </c>
      <c r="D1035" s="111" t="s">
        <v>1379</v>
      </c>
      <c r="E1035" s="95">
        <v>22706</v>
      </c>
      <c r="F1035" s="35">
        <v>0</v>
      </c>
    </row>
    <row r="1036" spans="1:6" s="4" customFormat="1" ht="12">
      <c r="A1036" s="106">
        <v>240314</v>
      </c>
      <c r="B1036" s="119" t="s">
        <v>1086</v>
      </c>
      <c r="C1036" s="103" t="s">
        <v>531</v>
      </c>
      <c r="D1036" s="111" t="s">
        <v>1380</v>
      </c>
      <c r="E1036" s="95">
        <v>105376</v>
      </c>
      <c r="F1036" s="35">
        <v>0</v>
      </c>
    </row>
    <row r="1037" spans="1:6" s="4" customFormat="1" ht="12">
      <c r="A1037" s="106">
        <v>240314</v>
      </c>
      <c r="B1037" s="119" t="s">
        <v>1086</v>
      </c>
      <c r="C1037" s="103" t="s">
        <v>2932</v>
      </c>
      <c r="D1037" s="111" t="s">
        <v>1381</v>
      </c>
      <c r="E1037" s="95">
        <v>11787</v>
      </c>
      <c r="F1037" s="35">
        <v>0</v>
      </c>
    </row>
    <row r="1038" spans="1:6" s="4" customFormat="1" ht="12">
      <c r="A1038" s="106">
        <v>240314</v>
      </c>
      <c r="B1038" s="119" t="s">
        <v>1086</v>
      </c>
      <c r="C1038" s="103" t="s">
        <v>1382</v>
      </c>
      <c r="D1038" s="111" t="s">
        <v>1383</v>
      </c>
      <c r="E1038" s="95">
        <v>18992</v>
      </c>
      <c r="F1038" s="35">
        <v>0</v>
      </c>
    </row>
    <row r="1039" spans="1:6" s="4" customFormat="1" ht="12">
      <c r="A1039" s="106">
        <v>240314</v>
      </c>
      <c r="B1039" s="119" t="s">
        <v>1086</v>
      </c>
      <c r="C1039" s="103" t="s">
        <v>3060</v>
      </c>
      <c r="D1039" s="111" t="s">
        <v>1384</v>
      </c>
      <c r="E1039" s="95">
        <v>25004</v>
      </c>
      <c r="F1039" s="35">
        <v>0</v>
      </c>
    </row>
    <row r="1040" spans="1:6" s="4" customFormat="1" ht="12">
      <c r="A1040" s="106">
        <v>240314</v>
      </c>
      <c r="B1040" s="119" t="s">
        <v>1086</v>
      </c>
      <c r="C1040" s="103" t="s">
        <v>3164</v>
      </c>
      <c r="D1040" s="111" t="s">
        <v>1385</v>
      </c>
      <c r="E1040" s="95">
        <v>39951</v>
      </c>
      <c r="F1040" s="35">
        <v>0</v>
      </c>
    </row>
    <row r="1041" spans="1:6" s="4" customFormat="1" ht="12">
      <c r="A1041" s="106">
        <v>240314</v>
      </c>
      <c r="B1041" s="119" t="s">
        <v>1086</v>
      </c>
      <c r="C1041" s="103" t="s">
        <v>1386</v>
      </c>
      <c r="D1041" s="111" t="s">
        <v>1387</v>
      </c>
      <c r="E1041" s="95">
        <v>21832</v>
      </c>
      <c r="F1041" s="35">
        <v>0</v>
      </c>
    </row>
    <row r="1042" spans="1:6" s="4" customFormat="1" ht="12">
      <c r="A1042" s="106">
        <v>240314</v>
      </c>
      <c r="B1042" s="119" t="s">
        <v>1086</v>
      </c>
      <c r="C1042" s="103" t="s">
        <v>3176</v>
      </c>
      <c r="D1042" s="111" t="s">
        <v>1388</v>
      </c>
      <c r="E1042" s="95">
        <v>91400</v>
      </c>
      <c r="F1042" s="35">
        <v>0</v>
      </c>
    </row>
    <row r="1043" spans="1:6" s="4" customFormat="1" ht="12">
      <c r="A1043" s="106">
        <v>240314</v>
      </c>
      <c r="B1043" s="119" t="s">
        <v>1086</v>
      </c>
      <c r="C1043" s="103">
        <v>215813458</v>
      </c>
      <c r="D1043" s="111" t="s">
        <v>1389</v>
      </c>
      <c r="E1043" s="95">
        <v>26167</v>
      </c>
      <c r="F1043" s="35">
        <v>0</v>
      </c>
    </row>
    <row r="1044" spans="1:6" s="4" customFormat="1" ht="12">
      <c r="A1044" s="106">
        <v>240314</v>
      </c>
      <c r="B1044" s="119" t="s">
        <v>1086</v>
      </c>
      <c r="C1044" s="103">
        <v>216813468</v>
      </c>
      <c r="D1044" s="111" t="s">
        <v>1390</v>
      </c>
      <c r="E1044" s="95">
        <v>76033</v>
      </c>
      <c r="F1044" s="35">
        <v>0</v>
      </c>
    </row>
    <row r="1045" spans="1:6" s="4" customFormat="1" ht="12">
      <c r="A1045" s="106">
        <v>240314</v>
      </c>
      <c r="B1045" s="119" t="s">
        <v>1086</v>
      </c>
      <c r="C1045" s="103" t="s">
        <v>1391</v>
      </c>
      <c r="D1045" s="111" t="s">
        <v>1392</v>
      </c>
      <c r="E1045" s="95">
        <v>35030</v>
      </c>
      <c r="F1045" s="35">
        <v>0</v>
      </c>
    </row>
    <row r="1046" spans="1:6" s="4" customFormat="1" ht="12">
      <c r="A1046" s="106">
        <v>240314</v>
      </c>
      <c r="B1046" s="119" t="s">
        <v>1086</v>
      </c>
      <c r="C1046" s="103" t="s">
        <v>1393</v>
      </c>
      <c r="D1046" s="111" t="s">
        <v>1394</v>
      </c>
      <c r="E1046" s="95">
        <v>47098</v>
      </c>
      <c r="F1046" s="35">
        <v>0</v>
      </c>
    </row>
    <row r="1047" spans="1:6" s="4" customFormat="1" ht="12">
      <c r="A1047" s="106">
        <v>240314</v>
      </c>
      <c r="B1047" s="119" t="s">
        <v>1086</v>
      </c>
      <c r="C1047" s="103" t="s">
        <v>1395</v>
      </c>
      <c r="D1047" s="111" t="s">
        <v>1396</v>
      </c>
      <c r="E1047" s="95">
        <v>11808</v>
      </c>
      <c r="F1047" s="35">
        <v>0</v>
      </c>
    </row>
    <row r="1048" spans="1:6" s="4" customFormat="1" ht="12">
      <c r="A1048" s="106">
        <v>240314</v>
      </c>
      <c r="B1048" s="119" t="s">
        <v>1086</v>
      </c>
      <c r="C1048" s="103">
        <v>210013600</v>
      </c>
      <c r="D1048" s="111" t="s">
        <v>1397</v>
      </c>
      <c r="E1048" s="95">
        <v>28582</v>
      </c>
      <c r="F1048" s="35">
        <v>0</v>
      </c>
    </row>
    <row r="1049" spans="1:6" s="4" customFormat="1" ht="12">
      <c r="A1049" s="106">
        <v>240314</v>
      </c>
      <c r="B1049" s="119" t="s">
        <v>1086</v>
      </c>
      <c r="C1049" s="103" t="s">
        <v>1398</v>
      </c>
      <c r="D1049" s="111" t="s">
        <v>1399</v>
      </c>
      <c r="E1049" s="95">
        <v>10393</v>
      </c>
      <c r="F1049" s="35">
        <v>0</v>
      </c>
    </row>
    <row r="1050" spans="1:6" s="4" customFormat="1" ht="12">
      <c r="A1050" s="106">
        <v>240314</v>
      </c>
      <c r="B1050" s="119" t="s">
        <v>1086</v>
      </c>
      <c r="C1050" s="103" t="s">
        <v>764</v>
      </c>
      <c r="D1050" s="111" t="s">
        <v>1400</v>
      </c>
      <c r="E1050" s="95">
        <v>22446</v>
      </c>
      <c r="F1050" s="35">
        <v>0</v>
      </c>
    </row>
    <row r="1051" spans="1:6" s="4" customFormat="1" ht="12">
      <c r="A1051" s="106">
        <v>240314</v>
      </c>
      <c r="B1051" s="119" t="s">
        <v>1086</v>
      </c>
      <c r="C1051" s="103" t="s">
        <v>1401</v>
      </c>
      <c r="D1051" s="111" t="s">
        <v>1402</v>
      </c>
      <c r="E1051" s="95">
        <v>19865</v>
      </c>
      <c r="F1051" s="35">
        <v>0</v>
      </c>
    </row>
    <row r="1052" spans="1:6" s="4" customFormat="1" ht="12">
      <c r="A1052" s="106">
        <v>240314</v>
      </c>
      <c r="B1052" s="119" t="s">
        <v>1086</v>
      </c>
      <c r="C1052" s="103" t="s">
        <v>769</v>
      </c>
      <c r="D1052" s="111" t="s">
        <v>1403</v>
      </c>
      <c r="E1052" s="95">
        <v>50172</v>
      </c>
      <c r="F1052" s="35">
        <v>0</v>
      </c>
    </row>
    <row r="1053" spans="1:6" s="4" customFormat="1" ht="12">
      <c r="A1053" s="106">
        <v>240314</v>
      </c>
      <c r="B1053" s="119" t="s">
        <v>1086</v>
      </c>
      <c r="C1053" s="103">
        <v>215513655</v>
      </c>
      <c r="D1053" s="111" t="s">
        <v>1404</v>
      </c>
      <c r="E1053" s="95">
        <v>23582</v>
      </c>
      <c r="F1053" s="35">
        <v>0</v>
      </c>
    </row>
    <row r="1054" spans="1:6" s="4" customFormat="1" ht="12">
      <c r="A1054" s="106">
        <v>240314</v>
      </c>
      <c r="B1054" s="119" t="s">
        <v>1086</v>
      </c>
      <c r="C1054" s="103">
        <v>215713657</v>
      </c>
      <c r="D1054" s="111" t="s">
        <v>1405</v>
      </c>
      <c r="E1054" s="95">
        <v>57937</v>
      </c>
      <c r="F1054" s="35">
        <v>0</v>
      </c>
    </row>
    <row r="1055" spans="1:6" s="4" customFormat="1" ht="12">
      <c r="A1055" s="106">
        <v>240314</v>
      </c>
      <c r="B1055" s="119" t="s">
        <v>1086</v>
      </c>
      <c r="C1055" s="103">
        <v>216713667</v>
      </c>
      <c r="D1055" s="111" t="s">
        <v>1406</v>
      </c>
      <c r="E1055" s="95">
        <v>36502</v>
      </c>
      <c r="F1055" s="35">
        <v>0</v>
      </c>
    </row>
    <row r="1056" spans="1:6" s="4" customFormat="1" ht="12">
      <c r="A1056" s="106">
        <v>240314</v>
      </c>
      <c r="B1056" s="119" t="s">
        <v>1086</v>
      </c>
      <c r="C1056" s="103" t="s">
        <v>1407</v>
      </c>
      <c r="D1056" s="111" t="s">
        <v>1408</v>
      </c>
      <c r="E1056" s="95">
        <v>49907</v>
      </c>
      <c r="F1056" s="35">
        <v>0</v>
      </c>
    </row>
    <row r="1057" spans="1:6" s="4" customFormat="1" ht="12">
      <c r="A1057" s="106">
        <v>240314</v>
      </c>
      <c r="B1057" s="119" t="s">
        <v>1086</v>
      </c>
      <c r="C1057" s="103" t="s">
        <v>1409</v>
      </c>
      <c r="D1057" s="111" t="s">
        <v>1410</v>
      </c>
      <c r="E1057" s="95">
        <v>21540</v>
      </c>
      <c r="F1057" s="35">
        <v>0</v>
      </c>
    </row>
    <row r="1058" spans="1:6" s="4" customFormat="1" ht="12">
      <c r="A1058" s="106">
        <v>240314</v>
      </c>
      <c r="B1058" s="119" t="s">
        <v>1086</v>
      </c>
      <c r="C1058" s="103">
        <v>218313683</v>
      </c>
      <c r="D1058" s="111" t="s">
        <v>1411</v>
      </c>
      <c r="E1058" s="95">
        <v>30153</v>
      </c>
      <c r="F1058" s="35">
        <v>0</v>
      </c>
    </row>
    <row r="1059" spans="1:6" s="4" customFormat="1" ht="12">
      <c r="A1059" s="106">
        <v>240314</v>
      </c>
      <c r="B1059" s="119" t="s">
        <v>1086</v>
      </c>
      <c r="C1059" s="103">
        <v>218813688</v>
      </c>
      <c r="D1059" s="111" t="s">
        <v>1412</v>
      </c>
      <c r="E1059" s="95">
        <v>53627</v>
      </c>
      <c r="F1059" s="35">
        <v>0</v>
      </c>
    </row>
    <row r="1060" spans="1:6" s="4" customFormat="1" ht="12">
      <c r="A1060" s="106">
        <v>240314</v>
      </c>
      <c r="B1060" s="119" t="s">
        <v>1086</v>
      </c>
      <c r="C1060" s="103" t="s">
        <v>3262</v>
      </c>
      <c r="D1060" s="111" t="s">
        <v>1413</v>
      </c>
      <c r="E1060" s="95">
        <v>38357</v>
      </c>
      <c r="F1060" s="35">
        <v>0</v>
      </c>
    </row>
    <row r="1061" spans="1:6" s="4" customFormat="1" ht="12">
      <c r="A1061" s="106">
        <v>240314</v>
      </c>
      <c r="B1061" s="119" t="s">
        <v>1086</v>
      </c>
      <c r="C1061" s="103" t="s">
        <v>3278</v>
      </c>
      <c r="D1061" s="111" t="s">
        <v>1414</v>
      </c>
      <c r="E1061" s="95">
        <v>12709</v>
      </c>
      <c r="F1061" s="35">
        <v>0</v>
      </c>
    </row>
    <row r="1062" spans="1:6" s="4" customFormat="1" ht="12">
      <c r="A1062" s="106">
        <v>240314</v>
      </c>
      <c r="B1062" s="119" t="s">
        <v>1086</v>
      </c>
      <c r="C1062" s="103" t="s">
        <v>3310</v>
      </c>
      <c r="D1062" s="111" t="s">
        <v>1415</v>
      </c>
      <c r="E1062" s="95">
        <v>23901</v>
      </c>
      <c r="F1062" s="35">
        <v>0</v>
      </c>
    </row>
    <row r="1063" spans="1:6" s="4" customFormat="1" ht="12">
      <c r="A1063" s="106">
        <v>240314</v>
      </c>
      <c r="B1063" s="119" t="s">
        <v>1086</v>
      </c>
      <c r="C1063" s="103" t="s">
        <v>1416</v>
      </c>
      <c r="D1063" s="111" t="s">
        <v>1417</v>
      </c>
      <c r="E1063" s="95">
        <v>36868</v>
      </c>
      <c r="F1063" s="35">
        <v>0</v>
      </c>
    </row>
    <row r="1064" spans="1:6" s="4" customFormat="1" ht="12">
      <c r="A1064" s="106">
        <v>240314</v>
      </c>
      <c r="B1064" s="119" t="s">
        <v>1086</v>
      </c>
      <c r="C1064" s="103" t="s">
        <v>1418</v>
      </c>
      <c r="D1064" s="111" t="s">
        <v>1419</v>
      </c>
      <c r="E1064" s="95">
        <v>70401</v>
      </c>
      <c r="F1064" s="35">
        <v>0</v>
      </c>
    </row>
    <row r="1065" spans="1:6" s="4" customFormat="1" ht="12">
      <c r="A1065" s="106">
        <v>240314</v>
      </c>
      <c r="B1065" s="119" t="s">
        <v>1086</v>
      </c>
      <c r="C1065" s="103" t="s">
        <v>1420</v>
      </c>
      <c r="D1065" s="111" t="s">
        <v>1421</v>
      </c>
      <c r="E1065" s="95">
        <v>23253</v>
      </c>
      <c r="F1065" s="35">
        <v>0</v>
      </c>
    </row>
    <row r="1066" spans="1:6" s="4" customFormat="1" ht="12">
      <c r="A1066" s="106">
        <v>240314</v>
      </c>
      <c r="B1066" s="119" t="s">
        <v>1086</v>
      </c>
      <c r="C1066" s="103" t="s">
        <v>1422</v>
      </c>
      <c r="D1066" s="111" t="s">
        <v>1423</v>
      </c>
      <c r="E1066" s="95">
        <v>29130</v>
      </c>
      <c r="F1066" s="35">
        <v>0</v>
      </c>
    </row>
    <row r="1067" spans="1:6" s="4" customFormat="1" ht="12">
      <c r="A1067" s="106">
        <v>240314</v>
      </c>
      <c r="B1067" s="119" t="s">
        <v>1086</v>
      </c>
      <c r="C1067" s="103" t="s">
        <v>1037</v>
      </c>
      <c r="D1067" s="111" t="s">
        <v>1424</v>
      </c>
      <c r="E1067" s="95">
        <v>17380</v>
      </c>
      <c r="F1067" s="35">
        <v>0</v>
      </c>
    </row>
    <row r="1068" spans="1:6" s="4" customFormat="1" ht="12">
      <c r="A1068" s="106">
        <v>240314</v>
      </c>
      <c r="B1068" s="119" t="s">
        <v>1086</v>
      </c>
      <c r="C1068" s="103" t="s">
        <v>269</v>
      </c>
      <c r="D1068" s="111" t="s">
        <v>1425</v>
      </c>
      <c r="E1068" s="95">
        <v>2195</v>
      </c>
      <c r="F1068" s="35">
        <v>0</v>
      </c>
    </row>
    <row r="1069" spans="1:6" s="4" customFormat="1" ht="12">
      <c r="A1069" s="106">
        <v>240314</v>
      </c>
      <c r="B1069" s="119" t="s">
        <v>1086</v>
      </c>
      <c r="C1069" s="103" t="s">
        <v>294</v>
      </c>
      <c r="D1069" s="111" t="s">
        <v>1426</v>
      </c>
      <c r="E1069" s="95">
        <v>19408</v>
      </c>
      <c r="F1069" s="35">
        <v>0</v>
      </c>
    </row>
    <row r="1070" spans="1:6" s="4" customFormat="1" ht="12">
      <c r="A1070" s="106">
        <v>240314</v>
      </c>
      <c r="B1070" s="119" t="s">
        <v>1086</v>
      </c>
      <c r="C1070" s="103" t="s">
        <v>307</v>
      </c>
      <c r="D1070" s="111" t="s">
        <v>1427</v>
      </c>
      <c r="E1070" s="95">
        <v>6452</v>
      </c>
      <c r="F1070" s="35">
        <v>0</v>
      </c>
    </row>
    <row r="1071" spans="1:6" s="4" customFormat="1" ht="12">
      <c r="A1071" s="106">
        <v>240314</v>
      </c>
      <c r="B1071" s="119" t="s">
        <v>1086</v>
      </c>
      <c r="C1071" s="103" t="s">
        <v>1428</v>
      </c>
      <c r="D1071" s="111" t="s">
        <v>1429</v>
      </c>
      <c r="E1071" s="95">
        <v>10440</v>
      </c>
      <c r="F1071" s="35">
        <v>0</v>
      </c>
    </row>
    <row r="1072" spans="1:6" s="4" customFormat="1" ht="12">
      <c r="A1072" s="106">
        <v>240314</v>
      </c>
      <c r="B1072" s="119" t="s">
        <v>1086</v>
      </c>
      <c r="C1072" s="103" t="s">
        <v>342</v>
      </c>
      <c r="D1072" s="111" t="s">
        <v>1430</v>
      </c>
      <c r="E1072" s="95">
        <v>2369</v>
      </c>
      <c r="F1072" s="35">
        <v>0</v>
      </c>
    </row>
    <row r="1073" spans="1:6" s="4" customFormat="1" ht="12">
      <c r="A1073" s="106">
        <v>240314</v>
      </c>
      <c r="B1073" s="119" t="s">
        <v>1086</v>
      </c>
      <c r="C1073" s="103" t="s">
        <v>344</v>
      </c>
      <c r="D1073" s="111" t="s">
        <v>1431</v>
      </c>
      <c r="E1073" s="95">
        <v>2901</v>
      </c>
      <c r="F1073" s="35">
        <v>0</v>
      </c>
    </row>
    <row r="1074" spans="1:6" s="4" customFormat="1" ht="12">
      <c r="A1074" s="106">
        <v>240314</v>
      </c>
      <c r="B1074" s="119" t="s">
        <v>1086</v>
      </c>
      <c r="C1074" s="103" t="s">
        <v>350</v>
      </c>
      <c r="D1074" s="111" t="s">
        <v>1432</v>
      </c>
      <c r="E1074" s="95">
        <v>9567</v>
      </c>
      <c r="F1074" s="35">
        <v>0</v>
      </c>
    </row>
    <row r="1075" spans="1:6" s="4" customFormat="1" ht="12">
      <c r="A1075" s="106">
        <v>240314</v>
      </c>
      <c r="B1075" s="119" t="s">
        <v>1086</v>
      </c>
      <c r="C1075" s="103" t="s">
        <v>1433</v>
      </c>
      <c r="D1075" s="111" t="s">
        <v>1090</v>
      </c>
      <c r="E1075" s="95">
        <v>5699</v>
      </c>
      <c r="F1075" s="35">
        <v>0</v>
      </c>
    </row>
    <row r="1076" spans="1:6" s="4" customFormat="1" ht="12">
      <c r="A1076" s="106">
        <v>240314</v>
      </c>
      <c r="B1076" s="119" t="s">
        <v>1086</v>
      </c>
      <c r="C1076" s="103" t="s">
        <v>358</v>
      </c>
      <c r="D1076" s="111" t="s">
        <v>1434</v>
      </c>
      <c r="E1076" s="95">
        <v>3409</v>
      </c>
      <c r="F1076" s="35">
        <v>0</v>
      </c>
    </row>
    <row r="1077" spans="1:6" s="4" customFormat="1" ht="12">
      <c r="A1077" s="106">
        <v>240314</v>
      </c>
      <c r="B1077" s="119" t="s">
        <v>1086</v>
      </c>
      <c r="C1077" s="103" t="s">
        <v>1435</v>
      </c>
      <c r="D1077" s="111" t="s">
        <v>1436</v>
      </c>
      <c r="E1077" s="95">
        <v>7311</v>
      </c>
      <c r="F1077" s="35">
        <v>0</v>
      </c>
    </row>
    <row r="1078" spans="1:6" s="4" customFormat="1" ht="12">
      <c r="A1078" s="106">
        <v>240314</v>
      </c>
      <c r="B1078" s="119" t="s">
        <v>1086</v>
      </c>
      <c r="C1078" s="103">
        <v>211415114</v>
      </c>
      <c r="D1078" s="111" t="s">
        <v>1437</v>
      </c>
      <c r="E1078" s="95">
        <v>668</v>
      </c>
      <c r="F1078" s="35">
        <v>0</v>
      </c>
    </row>
    <row r="1079" spans="1:6" s="4" customFormat="1" ht="12">
      <c r="A1079" s="106">
        <v>240314</v>
      </c>
      <c r="B1079" s="119" t="s">
        <v>1086</v>
      </c>
      <c r="C1079" s="103" t="s">
        <v>384</v>
      </c>
      <c r="D1079" s="111" t="s">
        <v>1091</v>
      </c>
      <c r="E1079" s="95">
        <v>4657</v>
      </c>
      <c r="F1079" s="35">
        <v>0</v>
      </c>
    </row>
    <row r="1080" spans="1:6" s="4" customFormat="1" ht="12">
      <c r="A1080" s="106">
        <v>240314</v>
      </c>
      <c r="B1080" s="119" t="s">
        <v>1086</v>
      </c>
      <c r="C1080" s="103" t="s">
        <v>398</v>
      </c>
      <c r="D1080" s="111" t="s">
        <v>1438</v>
      </c>
      <c r="E1080" s="95">
        <v>4393</v>
      </c>
      <c r="F1080" s="35">
        <v>0</v>
      </c>
    </row>
    <row r="1081" spans="1:6" s="4" customFormat="1" ht="12">
      <c r="A1081" s="106">
        <v>240314</v>
      </c>
      <c r="B1081" s="119" t="s">
        <v>1086</v>
      </c>
      <c r="C1081" s="103" t="s">
        <v>420</v>
      </c>
      <c r="D1081" s="111" t="s">
        <v>1439</v>
      </c>
      <c r="E1081" s="95">
        <v>4850</v>
      </c>
      <c r="F1081" s="35">
        <v>0</v>
      </c>
    </row>
    <row r="1082" spans="1:6" s="4" customFormat="1" ht="12">
      <c r="A1082" s="106">
        <v>240314</v>
      </c>
      <c r="B1082" s="119" t="s">
        <v>1086</v>
      </c>
      <c r="C1082" s="103" t="s">
        <v>438</v>
      </c>
      <c r="D1082" s="111" t="s">
        <v>1440</v>
      </c>
      <c r="E1082" s="95">
        <v>4298</v>
      </c>
      <c r="F1082" s="35">
        <v>0</v>
      </c>
    </row>
    <row r="1083" spans="1:6" s="4" customFormat="1" ht="12">
      <c r="A1083" s="106">
        <v>240314</v>
      </c>
      <c r="B1083" s="119" t="s">
        <v>1086</v>
      </c>
      <c r="C1083" s="103" t="s">
        <v>445</v>
      </c>
      <c r="D1083" s="111" t="s">
        <v>1441</v>
      </c>
      <c r="E1083" s="95">
        <v>66613</v>
      </c>
      <c r="F1083" s="35">
        <v>0</v>
      </c>
    </row>
    <row r="1084" spans="1:6" s="4" customFormat="1" ht="12">
      <c r="A1084" s="106">
        <v>240314</v>
      </c>
      <c r="B1084" s="119" t="s">
        <v>1086</v>
      </c>
      <c r="C1084" s="103" t="s">
        <v>448</v>
      </c>
      <c r="D1084" s="111" t="s">
        <v>1442</v>
      </c>
      <c r="E1084" s="95">
        <v>6702</v>
      </c>
      <c r="F1084" s="35">
        <v>0</v>
      </c>
    </row>
    <row r="1085" spans="1:6" s="4" customFormat="1" ht="12">
      <c r="A1085" s="106">
        <v>240314</v>
      </c>
      <c r="B1085" s="119" t="s">
        <v>1086</v>
      </c>
      <c r="C1085" s="103" t="s">
        <v>450</v>
      </c>
      <c r="D1085" s="111" t="s">
        <v>1443</v>
      </c>
      <c r="E1085" s="95">
        <v>16143</v>
      </c>
      <c r="F1085" s="35">
        <v>0</v>
      </c>
    </row>
    <row r="1086" spans="1:6" s="4" customFormat="1" ht="12">
      <c r="A1086" s="106">
        <v>240314</v>
      </c>
      <c r="B1086" s="119" t="s">
        <v>1086</v>
      </c>
      <c r="C1086" s="103" t="s">
        <v>452</v>
      </c>
      <c r="D1086" s="111" t="s">
        <v>1444</v>
      </c>
      <c r="E1086" s="95">
        <v>9350</v>
      </c>
      <c r="F1086" s="35">
        <v>0</v>
      </c>
    </row>
    <row r="1087" spans="1:6" s="4" customFormat="1" ht="12">
      <c r="A1087" s="106">
        <v>240314</v>
      </c>
      <c r="B1087" s="119" t="s">
        <v>1086</v>
      </c>
      <c r="C1087" s="103" t="s">
        <v>454</v>
      </c>
      <c r="D1087" s="111" t="s">
        <v>1445</v>
      </c>
      <c r="E1087" s="95">
        <v>3527</v>
      </c>
      <c r="F1087" s="35">
        <v>0</v>
      </c>
    </row>
    <row r="1088" spans="1:6" s="4" customFormat="1" ht="12">
      <c r="A1088" s="106">
        <v>240314</v>
      </c>
      <c r="B1088" s="119" t="s">
        <v>1086</v>
      </c>
      <c r="C1088" s="103">
        <v>218915189</v>
      </c>
      <c r="D1088" s="111" t="s">
        <v>1148</v>
      </c>
      <c r="E1088" s="95">
        <v>5330</v>
      </c>
      <c r="F1088" s="35">
        <v>0</v>
      </c>
    </row>
    <row r="1089" spans="1:6" s="4" customFormat="1" ht="12">
      <c r="A1089" s="106">
        <v>240314</v>
      </c>
      <c r="B1089" s="119" t="s">
        <v>1086</v>
      </c>
      <c r="C1089" s="103" t="s">
        <v>473</v>
      </c>
      <c r="D1089" s="111" t="s">
        <v>1446</v>
      </c>
      <c r="E1089" s="95">
        <v>10116</v>
      </c>
      <c r="F1089" s="35">
        <v>0</v>
      </c>
    </row>
    <row r="1090" spans="1:6" s="4" customFormat="1" ht="12">
      <c r="A1090" s="106">
        <v>240314</v>
      </c>
      <c r="B1090" s="119" t="s">
        <v>1086</v>
      </c>
      <c r="C1090" s="103" t="s">
        <v>485</v>
      </c>
      <c r="D1090" s="111" t="s">
        <v>1447</v>
      </c>
      <c r="E1090" s="95">
        <v>5089</v>
      </c>
      <c r="F1090" s="35">
        <v>0</v>
      </c>
    </row>
    <row r="1091" spans="1:6" s="4" customFormat="1" ht="12">
      <c r="A1091" s="106">
        <v>240314</v>
      </c>
      <c r="B1091" s="119" t="s">
        <v>1086</v>
      </c>
      <c r="C1091" s="103" t="s">
        <v>492</v>
      </c>
      <c r="D1091" s="111" t="s">
        <v>1448</v>
      </c>
      <c r="E1091" s="95">
        <v>2814</v>
      </c>
      <c r="F1091" s="35">
        <v>0</v>
      </c>
    </row>
    <row r="1092" spans="1:6" s="4" customFormat="1" ht="12">
      <c r="A1092" s="106">
        <v>240314</v>
      </c>
      <c r="B1092" s="119" t="s">
        <v>1086</v>
      </c>
      <c r="C1092" s="103" t="s">
        <v>496</v>
      </c>
      <c r="D1092" s="111" t="s">
        <v>1449</v>
      </c>
      <c r="E1092" s="95">
        <v>4770</v>
      </c>
      <c r="F1092" s="35">
        <v>0</v>
      </c>
    </row>
    <row r="1093" spans="1:6" s="4" customFormat="1" ht="12">
      <c r="A1093" s="106">
        <v>240314</v>
      </c>
      <c r="B1093" s="119" t="s">
        <v>1086</v>
      </c>
      <c r="C1093" s="103" t="s">
        <v>500</v>
      </c>
      <c r="D1093" s="111" t="s">
        <v>1450</v>
      </c>
      <c r="E1093" s="95">
        <v>8751</v>
      </c>
      <c r="F1093" s="35">
        <v>0</v>
      </c>
    </row>
    <row r="1094" spans="1:6" s="4" customFormat="1" ht="12">
      <c r="A1094" s="106">
        <v>240314</v>
      </c>
      <c r="B1094" s="119" t="s">
        <v>1086</v>
      </c>
      <c r="C1094" s="103" t="s">
        <v>503</v>
      </c>
      <c r="D1094" s="111" t="s">
        <v>1451</v>
      </c>
      <c r="E1094" s="95">
        <v>5354</v>
      </c>
      <c r="F1094" s="35">
        <v>0</v>
      </c>
    </row>
    <row r="1095" spans="1:6" s="4" customFormat="1" ht="12">
      <c r="A1095" s="106">
        <v>240314</v>
      </c>
      <c r="B1095" s="119" t="s">
        <v>1086</v>
      </c>
      <c r="C1095" s="103" t="s">
        <v>509</v>
      </c>
      <c r="D1095" s="111" t="s">
        <v>1452</v>
      </c>
      <c r="E1095" s="95">
        <v>2322</v>
      </c>
      <c r="F1095" s="35">
        <v>0</v>
      </c>
    </row>
    <row r="1096" spans="1:6" s="4" customFormat="1" ht="12">
      <c r="A1096" s="106">
        <v>240314</v>
      </c>
      <c r="B1096" s="119" t="s">
        <v>1086</v>
      </c>
      <c r="C1096" s="103">
        <v>213215232</v>
      </c>
      <c r="D1096" s="111" t="s">
        <v>1453</v>
      </c>
      <c r="E1096" s="95">
        <v>7241</v>
      </c>
      <c r="F1096" s="35">
        <v>0</v>
      </c>
    </row>
    <row r="1097" spans="1:6" s="4" customFormat="1" ht="12">
      <c r="A1097" s="106">
        <v>240314</v>
      </c>
      <c r="B1097" s="119" t="s">
        <v>1086</v>
      </c>
      <c r="C1097" s="103" t="s">
        <v>456</v>
      </c>
      <c r="D1097" s="111" t="s">
        <v>1454</v>
      </c>
      <c r="E1097" s="95">
        <v>2421</v>
      </c>
      <c r="F1097" s="35">
        <v>0</v>
      </c>
    </row>
    <row r="1098" spans="1:6" s="4" customFormat="1" ht="12">
      <c r="A1098" s="106">
        <v>240314</v>
      </c>
      <c r="B1098" s="119" t="s">
        <v>1086</v>
      </c>
      <c r="C1098" s="103" t="s">
        <v>535</v>
      </c>
      <c r="D1098" s="111" t="s">
        <v>1455</v>
      </c>
      <c r="E1098" s="95">
        <v>6633</v>
      </c>
      <c r="F1098" s="35">
        <v>0</v>
      </c>
    </row>
    <row r="1099" spans="1:6" s="4" customFormat="1" ht="12">
      <c r="A1099" s="106">
        <v>240314</v>
      </c>
      <c r="B1099" s="119" t="s">
        <v>1086</v>
      </c>
      <c r="C1099" s="103" t="s">
        <v>2930</v>
      </c>
      <c r="D1099" s="111" t="s">
        <v>1456</v>
      </c>
      <c r="E1099" s="95">
        <v>3521</v>
      </c>
      <c r="F1099" s="35">
        <v>0</v>
      </c>
    </row>
    <row r="1100" spans="1:6" s="4" customFormat="1" ht="12">
      <c r="A1100" s="106">
        <v>240314</v>
      </c>
      <c r="B1100" s="119" t="s">
        <v>1086</v>
      </c>
      <c r="C1100" s="103" t="s">
        <v>2963</v>
      </c>
      <c r="D1100" s="111" t="s">
        <v>1457</v>
      </c>
      <c r="E1100" s="95">
        <v>5961</v>
      </c>
      <c r="F1100" s="35">
        <v>0</v>
      </c>
    </row>
    <row r="1101" spans="1:6" s="4" customFormat="1" ht="12">
      <c r="A1101" s="106">
        <v>240314</v>
      </c>
      <c r="B1101" s="119" t="s">
        <v>1086</v>
      </c>
      <c r="C1101" s="103" t="s">
        <v>1458</v>
      </c>
      <c r="D1101" s="111" t="s">
        <v>1459</v>
      </c>
      <c r="E1101" s="95">
        <v>4461</v>
      </c>
      <c r="F1101" s="35">
        <v>0</v>
      </c>
    </row>
    <row r="1102" spans="1:6" s="4" customFormat="1" ht="12">
      <c r="A1102" s="106">
        <v>240314</v>
      </c>
      <c r="B1102" s="119" t="s">
        <v>1086</v>
      </c>
      <c r="C1102" s="103" t="s">
        <v>2992</v>
      </c>
      <c r="D1102" s="111" t="s">
        <v>1460</v>
      </c>
      <c r="E1102" s="95">
        <v>3681</v>
      </c>
      <c r="F1102" s="35">
        <v>0</v>
      </c>
    </row>
    <row r="1103" spans="1:6" s="4" customFormat="1" ht="12">
      <c r="A1103" s="106">
        <v>240314</v>
      </c>
      <c r="B1103" s="119" t="s">
        <v>1086</v>
      </c>
      <c r="C1103" s="103" t="s">
        <v>3002</v>
      </c>
      <c r="D1103" s="111" t="s">
        <v>1461</v>
      </c>
      <c r="E1103" s="95">
        <v>5686</v>
      </c>
      <c r="F1103" s="35">
        <v>0</v>
      </c>
    </row>
    <row r="1104" spans="1:6" s="4" customFormat="1" ht="12">
      <c r="A1104" s="106">
        <v>240314</v>
      </c>
      <c r="B1104" s="119" t="s">
        <v>1086</v>
      </c>
      <c r="C1104" s="103" t="s">
        <v>3004</v>
      </c>
      <c r="D1104" s="111" t="s">
        <v>1462</v>
      </c>
      <c r="E1104" s="95">
        <v>19957</v>
      </c>
      <c r="F1104" s="35">
        <v>0</v>
      </c>
    </row>
    <row r="1105" spans="1:6" s="4" customFormat="1" ht="12">
      <c r="A1105" s="106">
        <v>240314</v>
      </c>
      <c r="B1105" s="119" t="s">
        <v>1086</v>
      </c>
      <c r="C1105" s="103" t="s">
        <v>1463</v>
      </c>
      <c r="D1105" s="111" t="s">
        <v>1464</v>
      </c>
      <c r="E1105" s="95">
        <v>2396</v>
      </c>
      <c r="F1105" s="35">
        <v>0</v>
      </c>
    </row>
    <row r="1106" spans="1:6" s="4" customFormat="1" ht="12">
      <c r="A1106" s="106">
        <v>240314</v>
      </c>
      <c r="B1106" s="119" t="s">
        <v>1086</v>
      </c>
      <c r="C1106" s="103" t="s">
        <v>3048</v>
      </c>
      <c r="D1106" s="111" t="s">
        <v>1465</v>
      </c>
      <c r="E1106" s="95">
        <v>12858</v>
      </c>
      <c r="F1106" s="35">
        <v>0</v>
      </c>
    </row>
    <row r="1107" spans="1:6" s="4" customFormat="1" ht="12">
      <c r="A1107" s="106">
        <v>240314</v>
      </c>
      <c r="B1107" s="119" t="s">
        <v>1086</v>
      </c>
      <c r="C1107" s="103" t="s">
        <v>3056</v>
      </c>
      <c r="D1107" s="111" t="s">
        <v>1466</v>
      </c>
      <c r="E1107" s="95">
        <v>4434</v>
      </c>
      <c r="F1107" s="35">
        <v>0</v>
      </c>
    </row>
    <row r="1108" spans="1:6" s="4" customFormat="1" ht="12">
      <c r="A1108" s="106">
        <v>240314</v>
      </c>
      <c r="B1108" s="119" t="s">
        <v>1086</v>
      </c>
      <c r="C1108" s="103">
        <v>213215332</v>
      </c>
      <c r="D1108" s="111" t="s">
        <v>1467</v>
      </c>
      <c r="E1108" s="95">
        <v>4682</v>
      </c>
      <c r="F1108" s="35">
        <v>0</v>
      </c>
    </row>
    <row r="1109" spans="1:6" s="4" customFormat="1" ht="12">
      <c r="A1109" s="106">
        <v>240314</v>
      </c>
      <c r="B1109" s="119" t="s">
        <v>1086</v>
      </c>
      <c r="C1109" s="103" t="s">
        <v>1468</v>
      </c>
      <c r="D1109" s="111" t="s">
        <v>1469</v>
      </c>
      <c r="E1109" s="95">
        <v>2398</v>
      </c>
      <c r="F1109" s="35">
        <v>0</v>
      </c>
    </row>
    <row r="1110" spans="1:6" s="4" customFormat="1" ht="12">
      <c r="A1110" s="106">
        <v>240314</v>
      </c>
      <c r="B1110" s="119" t="s">
        <v>1086</v>
      </c>
      <c r="C1110" s="103" t="s">
        <v>3080</v>
      </c>
      <c r="D1110" s="111" t="s">
        <v>1470</v>
      </c>
      <c r="E1110" s="95">
        <v>7705</v>
      </c>
      <c r="F1110" s="35">
        <v>0</v>
      </c>
    </row>
    <row r="1111" spans="1:6" s="4" customFormat="1" ht="12">
      <c r="A1111" s="106">
        <v>240314</v>
      </c>
      <c r="B1111" s="119" t="s">
        <v>1086</v>
      </c>
      <c r="C1111" s="103" t="s">
        <v>3082</v>
      </c>
      <c r="D1111" s="111" t="s">
        <v>1246</v>
      </c>
      <c r="E1111" s="95">
        <v>6133</v>
      </c>
      <c r="F1111" s="35">
        <v>0</v>
      </c>
    </row>
    <row r="1112" spans="1:6" s="4" customFormat="1" ht="12">
      <c r="A1112" s="106">
        <v>240314</v>
      </c>
      <c r="B1112" s="119" t="s">
        <v>1086</v>
      </c>
      <c r="C1112" s="103" t="s">
        <v>3139</v>
      </c>
      <c r="D1112" s="111" t="s">
        <v>1471</v>
      </c>
      <c r="E1112" s="95">
        <v>5999</v>
      </c>
      <c r="F1112" s="35">
        <v>0</v>
      </c>
    </row>
    <row r="1113" spans="1:6" s="4" customFormat="1" ht="12">
      <c r="A1113" s="106">
        <v>240314</v>
      </c>
      <c r="B1113" s="119" t="s">
        <v>1086</v>
      </c>
      <c r="C1113" s="103" t="s">
        <v>1472</v>
      </c>
      <c r="D1113" s="111" t="s">
        <v>1473</v>
      </c>
      <c r="E1113" s="95">
        <v>2850</v>
      </c>
      <c r="F1113" s="35">
        <v>0</v>
      </c>
    </row>
    <row r="1114" spans="1:6" s="4" customFormat="1" ht="12">
      <c r="A1114" s="106">
        <v>240314</v>
      </c>
      <c r="B1114" s="119" t="s">
        <v>1086</v>
      </c>
      <c r="C1114" s="103" t="s">
        <v>3135</v>
      </c>
      <c r="D1114" s="111" t="s">
        <v>1474</v>
      </c>
      <c r="E1114" s="95">
        <v>1901</v>
      </c>
      <c r="F1114" s="35">
        <v>0</v>
      </c>
    </row>
    <row r="1115" spans="1:6" s="4" customFormat="1" ht="12">
      <c r="A1115" s="106">
        <v>240314</v>
      </c>
      <c r="B1115" s="119" t="s">
        <v>1086</v>
      </c>
      <c r="C1115" s="103" t="s">
        <v>3132</v>
      </c>
      <c r="D1115" s="111" t="s">
        <v>1475</v>
      </c>
      <c r="E1115" s="95">
        <v>4234</v>
      </c>
      <c r="F1115" s="35">
        <v>0</v>
      </c>
    </row>
    <row r="1116" spans="1:6" s="4" customFormat="1" ht="12">
      <c r="A1116" s="106">
        <v>240314</v>
      </c>
      <c r="B1116" s="119" t="s">
        <v>1086</v>
      </c>
      <c r="C1116" s="103" t="s">
        <v>3418</v>
      </c>
      <c r="D1116" s="111" t="s">
        <v>1476</v>
      </c>
      <c r="E1116" s="95">
        <v>12981</v>
      </c>
      <c r="F1116" s="35">
        <v>0</v>
      </c>
    </row>
    <row r="1117" spans="1:6" s="4" customFormat="1" ht="12">
      <c r="A1117" s="106">
        <v>240314</v>
      </c>
      <c r="B1117" s="119" t="s">
        <v>1086</v>
      </c>
      <c r="C1117" s="103" t="s">
        <v>3153</v>
      </c>
      <c r="D1117" s="111" t="s">
        <v>1477</v>
      </c>
      <c r="E1117" s="95">
        <v>5571</v>
      </c>
      <c r="F1117" s="35">
        <v>0</v>
      </c>
    </row>
    <row r="1118" spans="1:6" s="4" customFormat="1" ht="12">
      <c r="A1118" s="106">
        <v>240314</v>
      </c>
      <c r="B1118" s="119" t="s">
        <v>1086</v>
      </c>
      <c r="C1118" s="103" t="s">
        <v>1478</v>
      </c>
      <c r="D1118" s="111" t="s">
        <v>1479</v>
      </c>
      <c r="E1118" s="95">
        <v>11587</v>
      </c>
      <c r="F1118" s="35">
        <v>0</v>
      </c>
    </row>
    <row r="1119" spans="1:6" s="4" customFormat="1" ht="12">
      <c r="A1119" s="106">
        <v>240314</v>
      </c>
      <c r="B1119" s="119" t="s">
        <v>1086</v>
      </c>
      <c r="C1119" s="103" t="s">
        <v>3196</v>
      </c>
      <c r="D1119" s="111" t="s">
        <v>1480</v>
      </c>
      <c r="E1119" s="95">
        <v>10796</v>
      </c>
      <c r="F1119" s="35">
        <v>0</v>
      </c>
    </row>
    <row r="1120" spans="1:6" s="4" customFormat="1" ht="12">
      <c r="A1120" s="106">
        <v>240314</v>
      </c>
      <c r="B1120" s="119" t="s">
        <v>1086</v>
      </c>
      <c r="C1120" s="103" t="s">
        <v>3207</v>
      </c>
      <c r="D1120" s="111" t="s">
        <v>1481</v>
      </c>
      <c r="E1120" s="95">
        <v>6288</v>
      </c>
      <c r="F1120" s="35">
        <v>0</v>
      </c>
    </row>
    <row r="1121" spans="1:6" s="4" customFormat="1" ht="12">
      <c r="A1121" s="106">
        <v>240314</v>
      </c>
      <c r="B1121" s="119" t="s">
        <v>1086</v>
      </c>
      <c r="C1121" s="103" t="s">
        <v>3209</v>
      </c>
      <c r="D1121" s="111" t="s">
        <v>1482</v>
      </c>
      <c r="E1121" s="95">
        <v>6893</v>
      </c>
      <c r="F1121" s="35">
        <v>0</v>
      </c>
    </row>
    <row r="1122" spans="1:6" s="4" customFormat="1" ht="12">
      <c r="A1122" s="106">
        <v>240314</v>
      </c>
      <c r="B1122" s="119" t="s">
        <v>1086</v>
      </c>
      <c r="C1122" s="103" t="s">
        <v>3211</v>
      </c>
      <c r="D1122" s="111" t="s">
        <v>1483</v>
      </c>
      <c r="E1122" s="95">
        <v>27805</v>
      </c>
      <c r="F1122" s="35">
        <v>0</v>
      </c>
    </row>
    <row r="1123" spans="1:6" s="4" customFormat="1" ht="12">
      <c r="A1123" s="106">
        <v>240314</v>
      </c>
      <c r="B1123" s="119" t="s">
        <v>1086</v>
      </c>
      <c r="C1123" s="103">
        <v>217615476</v>
      </c>
      <c r="D1123" s="111" t="s">
        <v>1484</v>
      </c>
      <c r="E1123" s="95">
        <v>6692</v>
      </c>
      <c r="F1123" s="35">
        <v>0</v>
      </c>
    </row>
    <row r="1124" spans="1:6" s="4" customFormat="1" ht="12">
      <c r="A1124" s="106">
        <v>240314</v>
      </c>
      <c r="B1124" s="119" t="s">
        <v>1086</v>
      </c>
      <c r="C1124" s="103" t="s">
        <v>3227</v>
      </c>
      <c r="D1124" s="111" t="s">
        <v>1485</v>
      </c>
      <c r="E1124" s="95">
        <v>13606</v>
      </c>
      <c r="F1124" s="35">
        <v>0</v>
      </c>
    </row>
    <row r="1125" spans="1:6" s="4" customFormat="1" ht="12">
      <c r="A1125" s="106">
        <v>240314</v>
      </c>
      <c r="B1125" s="119" t="s">
        <v>1086</v>
      </c>
      <c r="C1125" s="103" t="s">
        <v>545</v>
      </c>
      <c r="D1125" s="111" t="s">
        <v>1486</v>
      </c>
      <c r="E1125" s="95">
        <v>15104</v>
      </c>
      <c r="F1125" s="35">
        <v>0</v>
      </c>
    </row>
    <row r="1126" spans="1:6" s="4" customFormat="1" ht="12">
      <c r="A1126" s="106">
        <v>240314</v>
      </c>
      <c r="B1126" s="119" t="s">
        <v>1086</v>
      </c>
      <c r="C1126" s="103" t="s">
        <v>550</v>
      </c>
      <c r="D1126" s="111" t="s">
        <v>1487</v>
      </c>
      <c r="E1126" s="95">
        <v>5854</v>
      </c>
      <c r="F1126" s="35">
        <v>0</v>
      </c>
    </row>
    <row r="1127" spans="1:6" s="4" customFormat="1" ht="12">
      <c r="A1127" s="106">
        <v>240314</v>
      </c>
      <c r="B1127" s="119" t="s">
        <v>1086</v>
      </c>
      <c r="C1127" s="103" t="s">
        <v>558</v>
      </c>
      <c r="D1127" s="111" t="s">
        <v>1488</v>
      </c>
      <c r="E1127" s="95">
        <v>3316</v>
      </c>
      <c r="F1127" s="35">
        <v>0</v>
      </c>
    </row>
    <row r="1128" spans="1:6" s="4" customFormat="1" ht="12">
      <c r="A1128" s="106">
        <v>240314</v>
      </c>
      <c r="B1128" s="119" t="s">
        <v>1086</v>
      </c>
      <c r="C1128" s="103" t="s">
        <v>568</v>
      </c>
      <c r="D1128" s="111" t="s">
        <v>1489</v>
      </c>
      <c r="E1128" s="95">
        <v>13193</v>
      </c>
      <c r="F1128" s="35">
        <v>0</v>
      </c>
    </row>
    <row r="1129" spans="1:6" s="4" customFormat="1" ht="12">
      <c r="A1129" s="106">
        <v>240314</v>
      </c>
      <c r="B1129" s="119" t="s">
        <v>1086</v>
      </c>
      <c r="C1129" s="103" t="s">
        <v>571</v>
      </c>
      <c r="D1129" s="111" t="s">
        <v>1490</v>
      </c>
      <c r="E1129" s="95">
        <v>2361</v>
      </c>
      <c r="F1129" s="35">
        <v>0</v>
      </c>
    </row>
    <row r="1130" spans="1:6" s="4" customFormat="1" ht="12">
      <c r="A1130" s="106">
        <v>240314</v>
      </c>
      <c r="B1130" s="119" t="s">
        <v>1086</v>
      </c>
      <c r="C1130" s="103">
        <v>211415514</v>
      </c>
      <c r="D1130" s="111" t="s">
        <v>1491</v>
      </c>
      <c r="E1130" s="95">
        <v>4084</v>
      </c>
      <c r="F1130" s="35">
        <v>0</v>
      </c>
    </row>
    <row r="1131" spans="1:6" s="4" customFormat="1" ht="12">
      <c r="A1131" s="106">
        <v>240314</v>
      </c>
      <c r="B1131" s="119" t="s">
        <v>1086</v>
      </c>
      <c r="C1131" s="103" t="s">
        <v>579</v>
      </c>
      <c r="D1131" s="111" t="s">
        <v>1492</v>
      </c>
      <c r="E1131" s="95">
        <v>32622</v>
      </c>
      <c r="F1131" s="35">
        <v>0</v>
      </c>
    </row>
    <row r="1132" spans="1:6" s="4" customFormat="1" ht="12">
      <c r="A1132" s="106">
        <v>240314</v>
      </c>
      <c r="B1132" s="119" t="s">
        <v>1086</v>
      </c>
      <c r="C1132" s="103" t="s">
        <v>581</v>
      </c>
      <c r="D1132" s="111" t="s">
        <v>1493</v>
      </c>
      <c r="E1132" s="95">
        <v>3078</v>
      </c>
      <c r="F1132" s="35">
        <v>0</v>
      </c>
    </row>
    <row r="1133" spans="1:6" s="4" customFormat="1" ht="12">
      <c r="A1133" s="106">
        <v>240314</v>
      </c>
      <c r="B1133" s="119" t="s">
        <v>1086</v>
      </c>
      <c r="C1133" s="103">
        <v>212215522</v>
      </c>
      <c r="D1133" s="111" t="s">
        <v>1494</v>
      </c>
      <c r="E1133" s="95">
        <v>2691</v>
      </c>
      <c r="F1133" s="35">
        <v>0</v>
      </c>
    </row>
    <row r="1134" spans="1:6" s="4" customFormat="1" ht="12">
      <c r="A1134" s="106">
        <v>240314</v>
      </c>
      <c r="B1134" s="119" t="s">
        <v>1086</v>
      </c>
      <c r="C1134" s="103" t="s">
        <v>606</v>
      </c>
      <c r="D1134" s="111" t="s">
        <v>1495</v>
      </c>
      <c r="E1134" s="95">
        <v>11741</v>
      </c>
      <c r="F1134" s="35">
        <v>0</v>
      </c>
    </row>
    <row r="1135" spans="1:6" s="4" customFormat="1" ht="12">
      <c r="A1135" s="106">
        <v>240314</v>
      </c>
      <c r="B1135" s="119" t="s">
        <v>1086</v>
      </c>
      <c r="C1135" s="103" t="s">
        <v>608</v>
      </c>
      <c r="D1135" s="111" t="s">
        <v>1496</v>
      </c>
      <c r="E1135" s="95">
        <v>3865</v>
      </c>
      <c r="F1135" s="35">
        <v>0</v>
      </c>
    </row>
    <row r="1136" spans="1:6" s="4" customFormat="1" ht="12">
      <c r="A1136" s="106">
        <v>240314</v>
      </c>
      <c r="B1136" s="119" t="s">
        <v>1086</v>
      </c>
      <c r="C1136" s="103" t="s">
        <v>611</v>
      </c>
      <c r="D1136" s="111" t="s">
        <v>1497</v>
      </c>
      <c r="E1136" s="95">
        <v>6077</v>
      </c>
      <c r="F1136" s="35">
        <v>0</v>
      </c>
    </row>
    <row r="1137" spans="1:6" s="4" customFormat="1" ht="12">
      <c r="A1137" s="106">
        <v>240314</v>
      </c>
      <c r="B1137" s="119" t="s">
        <v>1086</v>
      </c>
      <c r="C1137" s="103" t="s">
        <v>618</v>
      </c>
      <c r="D1137" s="111" t="s">
        <v>1498</v>
      </c>
      <c r="E1137" s="95">
        <v>9754</v>
      </c>
      <c r="F1137" s="35">
        <v>0</v>
      </c>
    </row>
    <row r="1138" spans="1:6" s="4" customFormat="1" ht="12">
      <c r="A1138" s="106">
        <v>240314</v>
      </c>
      <c r="B1138" s="119" t="s">
        <v>1086</v>
      </c>
      <c r="C1138" s="103" t="s">
        <v>628</v>
      </c>
      <c r="D1138" s="111" t="s">
        <v>1499</v>
      </c>
      <c r="E1138" s="95">
        <v>2326</v>
      </c>
      <c r="F1138" s="35">
        <v>0</v>
      </c>
    </row>
    <row r="1139" spans="1:6" s="4" customFormat="1" ht="12">
      <c r="A1139" s="106">
        <v>240314</v>
      </c>
      <c r="B1139" s="119" t="s">
        <v>1086</v>
      </c>
      <c r="C1139" s="103" t="s">
        <v>651</v>
      </c>
      <c r="D1139" s="111" t="s">
        <v>1500</v>
      </c>
      <c r="E1139" s="95">
        <v>56416</v>
      </c>
      <c r="F1139" s="35">
        <v>0</v>
      </c>
    </row>
    <row r="1140" spans="1:6" s="4" customFormat="1" ht="12">
      <c r="A1140" s="106">
        <v>240314</v>
      </c>
      <c r="B1140" s="119" t="s">
        <v>1086</v>
      </c>
      <c r="C1140" s="103">
        <v>218015580</v>
      </c>
      <c r="D1140" s="111" t="s">
        <v>1501</v>
      </c>
      <c r="E1140" s="95">
        <v>9290</v>
      </c>
      <c r="F1140" s="35">
        <v>0</v>
      </c>
    </row>
    <row r="1141" spans="1:6" s="4" customFormat="1" ht="12">
      <c r="A1141" s="106">
        <v>240314</v>
      </c>
      <c r="B1141" s="119" t="s">
        <v>1086</v>
      </c>
      <c r="C1141" s="103" t="s">
        <v>685</v>
      </c>
      <c r="D1141" s="111" t="s">
        <v>1502</v>
      </c>
      <c r="E1141" s="95">
        <v>12284</v>
      </c>
      <c r="F1141" s="35">
        <v>0</v>
      </c>
    </row>
    <row r="1142" spans="1:6" s="4" customFormat="1" ht="12">
      <c r="A1142" s="106">
        <v>240314</v>
      </c>
      <c r="B1142" s="119" t="s">
        <v>1086</v>
      </c>
      <c r="C1142" s="103">
        <v>210015600</v>
      </c>
      <c r="D1142" s="111" t="s">
        <v>1503</v>
      </c>
      <c r="E1142" s="95">
        <v>7143</v>
      </c>
      <c r="F1142" s="35">
        <v>0</v>
      </c>
    </row>
    <row r="1143" spans="1:6" s="4" customFormat="1" ht="12">
      <c r="A1143" s="106">
        <v>240314</v>
      </c>
      <c r="B1143" s="119" t="s">
        <v>1086</v>
      </c>
      <c r="C1143" s="103" t="s">
        <v>710</v>
      </c>
      <c r="D1143" s="111" t="s">
        <v>1504</v>
      </c>
      <c r="E1143" s="95">
        <v>3088</v>
      </c>
      <c r="F1143" s="35">
        <v>0</v>
      </c>
    </row>
    <row r="1144" spans="1:6" s="4" customFormat="1" ht="12">
      <c r="A1144" s="106">
        <v>240314</v>
      </c>
      <c r="B1144" s="119" t="s">
        <v>1086</v>
      </c>
      <c r="C1144" s="103" t="s">
        <v>724</v>
      </c>
      <c r="D1144" s="111" t="s">
        <v>1505</v>
      </c>
      <c r="E1144" s="95">
        <v>18132</v>
      </c>
      <c r="F1144" s="35">
        <v>0</v>
      </c>
    </row>
    <row r="1145" spans="1:6" s="4" customFormat="1" ht="12">
      <c r="A1145" s="106">
        <v>240314</v>
      </c>
      <c r="B1145" s="119" t="s">
        <v>1086</v>
      </c>
      <c r="C1145" s="103" t="s">
        <v>727</v>
      </c>
      <c r="D1145" s="111" t="s">
        <v>1506</v>
      </c>
      <c r="E1145" s="95">
        <v>4391</v>
      </c>
      <c r="F1145" s="35">
        <v>0</v>
      </c>
    </row>
    <row r="1146" spans="1:6" s="4" customFormat="1" ht="12">
      <c r="A1146" s="106">
        <v>240314</v>
      </c>
      <c r="B1146" s="119" t="s">
        <v>1086</v>
      </c>
      <c r="C1146" s="103" t="s">
        <v>739</v>
      </c>
      <c r="D1146" s="111" t="s">
        <v>1507</v>
      </c>
      <c r="E1146" s="95">
        <v>20285</v>
      </c>
      <c r="F1146" s="35">
        <v>0</v>
      </c>
    </row>
    <row r="1147" spans="1:6" s="4" customFormat="1" ht="12">
      <c r="A1147" s="106">
        <v>240314</v>
      </c>
      <c r="B1147" s="119" t="s">
        <v>1086</v>
      </c>
      <c r="C1147" s="103" t="s">
        <v>762</v>
      </c>
      <c r="D1147" s="111" t="s">
        <v>1508</v>
      </c>
      <c r="E1147" s="95">
        <v>2636</v>
      </c>
      <c r="F1147" s="35">
        <v>0</v>
      </c>
    </row>
    <row r="1148" spans="1:6" s="4" customFormat="1" ht="12">
      <c r="A1148" s="106">
        <v>240314</v>
      </c>
      <c r="B1148" s="119" t="s">
        <v>1086</v>
      </c>
      <c r="C1148" s="103" t="s">
        <v>776</v>
      </c>
      <c r="D1148" s="111" t="s">
        <v>1509</v>
      </c>
      <c r="E1148" s="95">
        <v>6898</v>
      </c>
      <c r="F1148" s="35">
        <v>0</v>
      </c>
    </row>
    <row r="1149" spans="1:6" s="4" customFormat="1" ht="12">
      <c r="A1149" s="106">
        <v>240314</v>
      </c>
      <c r="B1149" s="119" t="s">
        <v>1086</v>
      </c>
      <c r="C1149" s="103" t="s">
        <v>1510</v>
      </c>
      <c r="D1149" s="111" t="s">
        <v>1511</v>
      </c>
      <c r="E1149" s="95">
        <v>7090</v>
      </c>
      <c r="F1149" s="35">
        <v>0</v>
      </c>
    </row>
    <row r="1150" spans="1:6" s="4" customFormat="1" ht="12">
      <c r="A1150" s="106">
        <v>240314</v>
      </c>
      <c r="B1150" s="119" t="s">
        <v>1086</v>
      </c>
      <c r="C1150" s="103" t="s">
        <v>789</v>
      </c>
      <c r="D1150" s="111" t="s">
        <v>1512</v>
      </c>
      <c r="E1150" s="95">
        <v>6231</v>
      </c>
      <c r="F1150" s="35">
        <v>0</v>
      </c>
    </row>
    <row r="1151" spans="1:6" s="4" customFormat="1" ht="12">
      <c r="A1151" s="106">
        <v>240314</v>
      </c>
      <c r="B1151" s="119" t="s">
        <v>1086</v>
      </c>
      <c r="C1151" s="103">
        <v>217615676</v>
      </c>
      <c r="D1151" s="111" t="s">
        <v>1513</v>
      </c>
      <c r="E1151" s="95">
        <v>5137</v>
      </c>
      <c r="F1151" s="35">
        <v>0</v>
      </c>
    </row>
    <row r="1152" spans="1:6" s="4" customFormat="1" ht="12">
      <c r="A1152" s="106">
        <v>240314</v>
      </c>
      <c r="B1152" s="119" t="s">
        <v>1086</v>
      </c>
      <c r="C1152" s="103">
        <v>218115681</v>
      </c>
      <c r="D1152" s="111" t="s">
        <v>1514</v>
      </c>
      <c r="E1152" s="95">
        <v>12871</v>
      </c>
      <c r="F1152" s="35">
        <v>0</v>
      </c>
    </row>
    <row r="1153" spans="1:6" s="4" customFormat="1" ht="12">
      <c r="A1153" s="106">
        <v>240314</v>
      </c>
      <c r="B1153" s="119" t="s">
        <v>1086</v>
      </c>
      <c r="C1153" s="103">
        <v>218615686</v>
      </c>
      <c r="D1153" s="111" t="s">
        <v>1515</v>
      </c>
      <c r="E1153" s="95">
        <v>10210</v>
      </c>
      <c r="F1153" s="35">
        <v>0</v>
      </c>
    </row>
    <row r="1154" spans="1:6" s="4" customFormat="1" ht="12">
      <c r="A1154" s="106">
        <v>240314</v>
      </c>
      <c r="B1154" s="119" t="s">
        <v>1086</v>
      </c>
      <c r="C1154" s="103">
        <v>219015690</v>
      </c>
      <c r="D1154" s="111" t="s">
        <v>1516</v>
      </c>
      <c r="E1154" s="95">
        <v>5766</v>
      </c>
      <c r="F1154" s="35">
        <v>0</v>
      </c>
    </row>
    <row r="1155" spans="1:6" s="4" customFormat="1" ht="12">
      <c r="A1155" s="106">
        <v>240314</v>
      </c>
      <c r="B1155" s="119" t="s">
        <v>1086</v>
      </c>
      <c r="C1155" s="103">
        <v>219315693</v>
      </c>
      <c r="D1155" s="111" t="s">
        <v>1517</v>
      </c>
      <c r="E1155" s="95">
        <v>12207</v>
      </c>
      <c r="F1155" s="35">
        <v>0</v>
      </c>
    </row>
    <row r="1156" spans="1:6" s="4" customFormat="1" ht="12">
      <c r="A1156" s="106">
        <v>240314</v>
      </c>
      <c r="B1156" s="119" t="s">
        <v>1086</v>
      </c>
      <c r="C1156" s="103">
        <v>219615696</v>
      </c>
      <c r="D1156" s="111" t="s">
        <v>1518</v>
      </c>
      <c r="E1156" s="95">
        <v>3124</v>
      </c>
      <c r="F1156" s="35">
        <v>0</v>
      </c>
    </row>
    <row r="1157" spans="1:6" s="4" customFormat="1" ht="12">
      <c r="A1157" s="106">
        <v>240314</v>
      </c>
      <c r="B1157" s="119" t="s">
        <v>1086</v>
      </c>
      <c r="C1157" s="103">
        <v>212015720</v>
      </c>
      <c r="D1157" s="111" t="s">
        <v>1519</v>
      </c>
      <c r="E1157" s="95">
        <v>2945</v>
      </c>
      <c r="F1157" s="35">
        <v>0</v>
      </c>
    </row>
    <row r="1158" spans="1:6" s="4" customFormat="1" ht="12">
      <c r="A1158" s="106">
        <v>240314</v>
      </c>
      <c r="B1158" s="119" t="s">
        <v>1086</v>
      </c>
      <c r="C1158" s="103">
        <v>212315723</v>
      </c>
      <c r="D1158" s="111" t="s">
        <v>1520</v>
      </c>
      <c r="E1158" s="95">
        <v>1563</v>
      </c>
      <c r="F1158" s="35">
        <v>0</v>
      </c>
    </row>
    <row r="1159" spans="1:6" s="4" customFormat="1" ht="12">
      <c r="A1159" s="106">
        <v>240314</v>
      </c>
      <c r="B1159" s="119" t="s">
        <v>1086</v>
      </c>
      <c r="C1159" s="103">
        <v>214015740</v>
      </c>
      <c r="D1159" s="111" t="s">
        <v>1521</v>
      </c>
      <c r="E1159" s="95">
        <v>11405</v>
      </c>
      <c r="F1159" s="35">
        <v>0</v>
      </c>
    </row>
    <row r="1160" spans="1:6" s="4" customFormat="1" ht="12">
      <c r="A1160" s="106">
        <v>240314</v>
      </c>
      <c r="B1160" s="119" t="s">
        <v>1086</v>
      </c>
      <c r="C1160" s="103">
        <v>215315753</v>
      </c>
      <c r="D1160" s="111" t="s">
        <v>1522</v>
      </c>
      <c r="E1160" s="95">
        <v>12508</v>
      </c>
      <c r="F1160" s="35">
        <v>0</v>
      </c>
    </row>
    <row r="1161" spans="1:6" s="4" customFormat="1" ht="12">
      <c r="A1161" s="106">
        <v>240314</v>
      </c>
      <c r="B1161" s="119" t="s">
        <v>1086</v>
      </c>
      <c r="C1161" s="103">
        <v>215515755</v>
      </c>
      <c r="D1161" s="111" t="s">
        <v>1523</v>
      </c>
      <c r="E1161" s="95">
        <v>10668</v>
      </c>
      <c r="F1161" s="35">
        <v>0</v>
      </c>
    </row>
    <row r="1162" spans="1:6" s="4" customFormat="1" ht="12">
      <c r="A1162" s="106">
        <v>240314</v>
      </c>
      <c r="B1162" s="119" t="s">
        <v>1086</v>
      </c>
      <c r="C1162" s="103">
        <v>215715757</v>
      </c>
      <c r="D1162" s="111" t="s">
        <v>1524</v>
      </c>
      <c r="E1162" s="95">
        <v>9241</v>
      </c>
      <c r="F1162" s="35">
        <v>0</v>
      </c>
    </row>
    <row r="1163" spans="1:6" s="4" customFormat="1" ht="12">
      <c r="A1163" s="106">
        <v>240314</v>
      </c>
      <c r="B1163" s="119" t="s">
        <v>1086</v>
      </c>
      <c r="C1163" s="103">
        <v>216115761</v>
      </c>
      <c r="D1163" s="111" t="s">
        <v>1525</v>
      </c>
      <c r="E1163" s="95">
        <v>4657</v>
      </c>
      <c r="F1163" s="35">
        <v>0</v>
      </c>
    </row>
    <row r="1164" spans="1:6" s="4" customFormat="1" ht="12">
      <c r="A1164" s="106">
        <v>240314</v>
      </c>
      <c r="B1164" s="119" t="s">
        <v>1086</v>
      </c>
      <c r="C1164" s="103">
        <v>216215762</v>
      </c>
      <c r="D1164" s="111" t="s">
        <v>1526</v>
      </c>
      <c r="E1164" s="95">
        <v>4435</v>
      </c>
      <c r="F1164" s="35">
        <v>0</v>
      </c>
    </row>
    <row r="1165" spans="1:6" s="4" customFormat="1" ht="12">
      <c r="A1165" s="106">
        <v>240314</v>
      </c>
      <c r="B1165" s="119" t="s">
        <v>1086</v>
      </c>
      <c r="C1165" s="103">
        <v>216315763</v>
      </c>
      <c r="D1165" s="111" t="s">
        <v>1527</v>
      </c>
      <c r="E1165" s="95">
        <v>9504</v>
      </c>
      <c r="F1165" s="35">
        <v>0</v>
      </c>
    </row>
    <row r="1166" spans="1:6" s="4" customFormat="1" ht="12">
      <c r="A1166" s="106">
        <v>240314</v>
      </c>
      <c r="B1166" s="119" t="s">
        <v>1086</v>
      </c>
      <c r="C1166" s="103">
        <v>216415764</v>
      </c>
      <c r="D1166" s="111" t="s">
        <v>1528</v>
      </c>
      <c r="E1166" s="95">
        <v>7969</v>
      </c>
      <c r="F1166" s="35">
        <v>0</v>
      </c>
    </row>
    <row r="1167" spans="1:6" s="4" customFormat="1" ht="12">
      <c r="A1167" s="106">
        <v>240314</v>
      </c>
      <c r="B1167" s="119" t="s">
        <v>1086</v>
      </c>
      <c r="C1167" s="103">
        <v>217415774</v>
      </c>
      <c r="D1167" s="111" t="s">
        <v>1529</v>
      </c>
      <c r="E1167" s="95">
        <v>3753</v>
      </c>
      <c r="F1167" s="35">
        <v>0</v>
      </c>
    </row>
    <row r="1168" spans="1:6" s="4" customFormat="1" ht="12">
      <c r="A1168" s="106">
        <v>240314</v>
      </c>
      <c r="B1168" s="119" t="s">
        <v>1086</v>
      </c>
      <c r="C1168" s="103">
        <v>217615776</v>
      </c>
      <c r="D1168" s="111" t="s">
        <v>1530</v>
      </c>
      <c r="E1168" s="95">
        <v>5962</v>
      </c>
      <c r="F1168" s="35">
        <v>0</v>
      </c>
    </row>
    <row r="1169" spans="1:6" s="4" customFormat="1" ht="12">
      <c r="A1169" s="106">
        <v>240314</v>
      </c>
      <c r="B1169" s="119" t="s">
        <v>1086</v>
      </c>
      <c r="C1169" s="103">
        <v>217815778</v>
      </c>
      <c r="D1169" s="111" t="s">
        <v>1531</v>
      </c>
      <c r="E1169" s="95">
        <v>5040</v>
      </c>
      <c r="F1169" s="35">
        <v>0</v>
      </c>
    </row>
    <row r="1170" spans="1:6" s="4" customFormat="1" ht="12">
      <c r="A1170" s="106">
        <v>240314</v>
      </c>
      <c r="B1170" s="119" t="s">
        <v>1086</v>
      </c>
      <c r="C1170" s="103">
        <v>219015790</v>
      </c>
      <c r="D1170" s="111" t="s">
        <v>1532</v>
      </c>
      <c r="E1170" s="95">
        <v>7160</v>
      </c>
      <c r="F1170" s="35">
        <v>0</v>
      </c>
    </row>
    <row r="1171" spans="1:6" s="4" customFormat="1" ht="12">
      <c r="A1171" s="106">
        <v>240314</v>
      </c>
      <c r="B1171" s="119" t="s">
        <v>1086</v>
      </c>
      <c r="C1171" s="103">
        <v>219815798</v>
      </c>
      <c r="D1171" s="111" t="s">
        <v>1533</v>
      </c>
      <c r="E1171" s="95">
        <v>4776</v>
      </c>
      <c r="F1171" s="35">
        <v>0</v>
      </c>
    </row>
    <row r="1172" spans="1:6" s="4" customFormat="1" ht="12">
      <c r="A1172" s="106">
        <v>240314</v>
      </c>
      <c r="B1172" s="119" t="s">
        <v>1086</v>
      </c>
      <c r="C1172" s="103">
        <v>210415804</v>
      </c>
      <c r="D1172" s="111" t="s">
        <v>1534</v>
      </c>
      <c r="E1172" s="95">
        <v>10642</v>
      </c>
      <c r="F1172" s="35">
        <v>0</v>
      </c>
    </row>
    <row r="1173" spans="1:6" s="4" customFormat="1" ht="12">
      <c r="A1173" s="106">
        <v>240314</v>
      </c>
      <c r="B1173" s="119" t="s">
        <v>1086</v>
      </c>
      <c r="C1173" s="103">
        <v>210615806</v>
      </c>
      <c r="D1173" s="111" t="s">
        <v>1535</v>
      </c>
      <c r="E1173" s="95">
        <v>13398</v>
      </c>
      <c r="F1173" s="35">
        <v>0</v>
      </c>
    </row>
    <row r="1174" spans="1:6" s="4" customFormat="1" ht="12">
      <c r="A1174" s="106">
        <v>240314</v>
      </c>
      <c r="B1174" s="119" t="s">
        <v>1086</v>
      </c>
      <c r="C1174" s="103">
        <v>210815808</v>
      </c>
      <c r="D1174" s="111" t="s">
        <v>1536</v>
      </c>
      <c r="E1174" s="95">
        <v>2755</v>
      </c>
      <c r="F1174" s="35">
        <v>0</v>
      </c>
    </row>
    <row r="1175" spans="1:6" s="4" customFormat="1" ht="12">
      <c r="A1175" s="106">
        <v>240314</v>
      </c>
      <c r="B1175" s="119" t="s">
        <v>1086</v>
      </c>
      <c r="C1175" s="103">
        <v>211015810</v>
      </c>
      <c r="D1175" s="111" t="s">
        <v>1537</v>
      </c>
      <c r="E1175" s="95">
        <v>4565</v>
      </c>
      <c r="F1175" s="35">
        <v>0</v>
      </c>
    </row>
    <row r="1176" spans="1:6" s="4" customFormat="1" ht="12">
      <c r="A1176" s="106">
        <v>240314</v>
      </c>
      <c r="B1176" s="119" t="s">
        <v>1086</v>
      </c>
      <c r="C1176" s="103">
        <v>211415814</v>
      </c>
      <c r="D1176" s="111" t="s">
        <v>1538</v>
      </c>
      <c r="E1176" s="95">
        <v>11766</v>
      </c>
      <c r="F1176" s="35">
        <v>0</v>
      </c>
    </row>
    <row r="1177" spans="1:6" s="4" customFormat="1" ht="12">
      <c r="A1177" s="106">
        <v>240314</v>
      </c>
      <c r="B1177" s="119" t="s">
        <v>1086</v>
      </c>
      <c r="C1177" s="103">
        <v>211615816</v>
      </c>
      <c r="D1177" s="111" t="s">
        <v>1539</v>
      </c>
      <c r="E1177" s="95">
        <v>6377</v>
      </c>
      <c r="F1177" s="35">
        <v>0</v>
      </c>
    </row>
    <row r="1178" spans="1:6" s="4" customFormat="1" ht="12">
      <c r="A1178" s="106">
        <v>240314</v>
      </c>
      <c r="B1178" s="119" t="s">
        <v>1086</v>
      </c>
      <c r="C1178" s="103">
        <v>212015820</v>
      </c>
      <c r="D1178" s="111" t="s">
        <v>1540</v>
      </c>
      <c r="E1178" s="95">
        <v>4936</v>
      </c>
      <c r="F1178" s="35">
        <v>0</v>
      </c>
    </row>
    <row r="1179" spans="1:6" s="4" customFormat="1" ht="12">
      <c r="A1179" s="106">
        <v>240314</v>
      </c>
      <c r="B1179" s="119" t="s">
        <v>1086</v>
      </c>
      <c r="C1179" s="103">
        <v>212215822</v>
      </c>
      <c r="D1179" s="111" t="s">
        <v>1541</v>
      </c>
      <c r="E1179" s="95">
        <v>6971</v>
      </c>
      <c r="F1179" s="35">
        <v>0</v>
      </c>
    </row>
    <row r="1180" spans="1:6" s="4" customFormat="1" ht="12">
      <c r="A1180" s="106">
        <v>240314</v>
      </c>
      <c r="B1180" s="119" t="s">
        <v>1086</v>
      </c>
      <c r="C1180" s="103">
        <v>213215832</v>
      </c>
      <c r="D1180" s="111" t="s">
        <v>1542</v>
      </c>
      <c r="E1180" s="95">
        <v>2235</v>
      </c>
      <c r="F1180" s="35">
        <v>0</v>
      </c>
    </row>
    <row r="1181" spans="1:6" s="4" customFormat="1" ht="12">
      <c r="A1181" s="106">
        <v>240314</v>
      </c>
      <c r="B1181" s="119" t="s">
        <v>1086</v>
      </c>
      <c r="C1181" s="103">
        <v>213515835</v>
      </c>
      <c r="D1181" s="111" t="s">
        <v>1543</v>
      </c>
      <c r="E1181" s="95">
        <v>9286</v>
      </c>
      <c r="F1181" s="35">
        <v>0</v>
      </c>
    </row>
    <row r="1182" spans="1:6" s="4" customFormat="1" ht="12">
      <c r="A1182" s="106">
        <v>240314</v>
      </c>
      <c r="B1182" s="119" t="s">
        <v>1086</v>
      </c>
      <c r="C1182" s="103">
        <v>213715837</v>
      </c>
      <c r="D1182" s="111" t="s">
        <v>1544</v>
      </c>
      <c r="E1182" s="95">
        <v>11468</v>
      </c>
      <c r="F1182" s="35">
        <v>0</v>
      </c>
    </row>
    <row r="1183" spans="1:6" s="4" customFormat="1" ht="12">
      <c r="A1183" s="106">
        <v>240314</v>
      </c>
      <c r="B1183" s="119" t="s">
        <v>1086</v>
      </c>
      <c r="C1183" s="103">
        <v>213915839</v>
      </c>
      <c r="D1183" s="111" t="s">
        <v>1545</v>
      </c>
      <c r="E1183" s="95">
        <v>3038</v>
      </c>
      <c r="F1183" s="35">
        <v>0</v>
      </c>
    </row>
    <row r="1184" spans="1:6" s="4" customFormat="1" ht="12">
      <c r="A1184" s="106">
        <v>240314</v>
      </c>
      <c r="B1184" s="119" t="s">
        <v>1086</v>
      </c>
      <c r="C1184" s="103">
        <v>214215842</v>
      </c>
      <c r="D1184" s="111" t="s">
        <v>1546</v>
      </c>
      <c r="E1184" s="95">
        <v>10454</v>
      </c>
      <c r="F1184" s="35">
        <v>0</v>
      </c>
    </row>
    <row r="1185" spans="1:6" s="4" customFormat="1" ht="12">
      <c r="A1185" s="106">
        <v>240314</v>
      </c>
      <c r="B1185" s="119" t="s">
        <v>1086</v>
      </c>
      <c r="C1185" s="103">
        <v>216115861</v>
      </c>
      <c r="D1185" s="111" t="s">
        <v>1547</v>
      </c>
      <c r="E1185" s="95">
        <v>18126</v>
      </c>
      <c r="F1185" s="35">
        <v>0</v>
      </c>
    </row>
    <row r="1186" spans="1:6" s="4" customFormat="1" ht="12">
      <c r="A1186" s="106">
        <v>240314</v>
      </c>
      <c r="B1186" s="119" t="s">
        <v>1086</v>
      </c>
      <c r="C1186" s="103">
        <v>217915879</v>
      </c>
      <c r="D1186" s="111" t="s">
        <v>1548</v>
      </c>
      <c r="E1186" s="95">
        <v>3920</v>
      </c>
      <c r="F1186" s="35">
        <v>0</v>
      </c>
    </row>
    <row r="1187" spans="1:6" s="4" customFormat="1" ht="12">
      <c r="A1187" s="106">
        <v>240314</v>
      </c>
      <c r="B1187" s="119" t="s">
        <v>1086</v>
      </c>
      <c r="C1187" s="103">
        <v>219715897</v>
      </c>
      <c r="D1187" s="111" t="s">
        <v>1549</v>
      </c>
      <c r="E1187" s="95">
        <v>8266</v>
      </c>
      <c r="F1187" s="35">
        <v>0</v>
      </c>
    </row>
    <row r="1188" spans="1:6" s="4" customFormat="1" ht="12">
      <c r="A1188" s="106">
        <v>240314</v>
      </c>
      <c r="B1188" s="119" t="s">
        <v>1086</v>
      </c>
      <c r="C1188" s="103" t="s">
        <v>1550</v>
      </c>
      <c r="D1188" s="111" t="s">
        <v>1551</v>
      </c>
      <c r="E1188" s="95">
        <v>29562</v>
      </c>
      <c r="F1188" s="35">
        <v>0</v>
      </c>
    </row>
    <row r="1189" spans="1:6" s="4" customFormat="1" ht="12">
      <c r="A1189" s="106">
        <v>240314</v>
      </c>
      <c r="B1189" s="119" t="s">
        <v>1086</v>
      </c>
      <c r="C1189" s="103">
        <v>214217042</v>
      </c>
      <c r="D1189" s="111" t="s">
        <v>1552</v>
      </c>
      <c r="E1189" s="95">
        <v>42668</v>
      </c>
      <c r="F1189" s="35">
        <v>0</v>
      </c>
    </row>
    <row r="1190" spans="1:6" s="4" customFormat="1" ht="12">
      <c r="A1190" s="106">
        <v>240314</v>
      </c>
      <c r="B1190" s="119" t="s">
        <v>1086</v>
      </c>
      <c r="C1190" s="103">
        <v>215017050</v>
      </c>
      <c r="D1190" s="111" t="s">
        <v>1553</v>
      </c>
      <c r="E1190" s="95">
        <v>15826</v>
      </c>
      <c r="F1190" s="35">
        <v>0</v>
      </c>
    </row>
    <row r="1191" spans="1:6" s="4" customFormat="1" ht="12">
      <c r="A1191" s="106">
        <v>240314</v>
      </c>
      <c r="B1191" s="119" t="s">
        <v>1086</v>
      </c>
      <c r="C1191" s="103">
        <v>218817088</v>
      </c>
      <c r="D1191" s="111" t="s">
        <v>1554</v>
      </c>
      <c r="E1191" s="95">
        <v>13381</v>
      </c>
      <c r="F1191" s="35">
        <v>0</v>
      </c>
    </row>
    <row r="1192" spans="1:6" s="4" customFormat="1" ht="12">
      <c r="A1192" s="106">
        <v>240314</v>
      </c>
      <c r="B1192" s="119" t="s">
        <v>1086</v>
      </c>
      <c r="C1192" s="103">
        <v>217417174</v>
      </c>
      <c r="D1192" s="111" t="s">
        <v>1555</v>
      </c>
      <c r="E1192" s="95">
        <v>55979</v>
      </c>
      <c r="F1192" s="35">
        <v>0</v>
      </c>
    </row>
    <row r="1193" spans="1:6" s="4" customFormat="1" ht="12">
      <c r="A1193" s="106">
        <v>240314</v>
      </c>
      <c r="B1193" s="119" t="s">
        <v>1086</v>
      </c>
      <c r="C1193" s="103">
        <v>217217272</v>
      </c>
      <c r="D1193" s="111" t="s">
        <v>1556</v>
      </c>
      <c r="E1193" s="95">
        <v>13160</v>
      </c>
      <c r="F1193" s="35">
        <v>0</v>
      </c>
    </row>
    <row r="1194" spans="1:6" s="4" customFormat="1" ht="12">
      <c r="A1194" s="106">
        <v>240314</v>
      </c>
      <c r="B1194" s="119" t="s">
        <v>1086</v>
      </c>
      <c r="C1194" s="103">
        <v>218017380</v>
      </c>
      <c r="D1194" s="111" t="s">
        <v>1557</v>
      </c>
      <c r="E1194" s="95">
        <v>80263</v>
      </c>
      <c r="F1194" s="35">
        <v>0</v>
      </c>
    </row>
    <row r="1195" spans="1:6" s="4" customFormat="1" ht="12">
      <c r="A1195" s="106">
        <v>240314</v>
      </c>
      <c r="B1195" s="119" t="s">
        <v>1086</v>
      </c>
      <c r="C1195" s="103">
        <v>218817388</v>
      </c>
      <c r="D1195" s="111" t="s">
        <v>1558</v>
      </c>
      <c r="E1195" s="95">
        <v>9115</v>
      </c>
      <c r="F1195" s="35">
        <v>0</v>
      </c>
    </row>
    <row r="1196" spans="1:6" s="4" customFormat="1" ht="12">
      <c r="A1196" s="106">
        <v>240314</v>
      </c>
      <c r="B1196" s="119" t="s">
        <v>1086</v>
      </c>
      <c r="C1196" s="103">
        <v>213317433</v>
      </c>
      <c r="D1196" s="111" t="s">
        <v>1559</v>
      </c>
      <c r="E1196" s="95">
        <v>22539</v>
      </c>
      <c r="F1196" s="35">
        <v>0</v>
      </c>
    </row>
    <row r="1197" spans="1:6" s="4" customFormat="1" ht="12">
      <c r="A1197" s="106">
        <v>240314</v>
      </c>
      <c r="B1197" s="119" t="s">
        <v>1086</v>
      </c>
      <c r="C1197" s="103">
        <v>214217442</v>
      </c>
      <c r="D1197" s="111" t="s">
        <v>1560</v>
      </c>
      <c r="E1197" s="95">
        <v>11809</v>
      </c>
      <c r="F1197" s="35">
        <v>0</v>
      </c>
    </row>
    <row r="1198" spans="1:6" s="4" customFormat="1" ht="12">
      <c r="A1198" s="106">
        <v>240314</v>
      </c>
      <c r="B1198" s="119" t="s">
        <v>1086</v>
      </c>
      <c r="C1198" s="103">
        <v>214417444</v>
      </c>
      <c r="D1198" s="111" t="s">
        <v>1561</v>
      </c>
      <c r="E1198" s="95">
        <v>17298</v>
      </c>
      <c r="F1198" s="35">
        <v>0</v>
      </c>
    </row>
    <row r="1199" spans="1:6" s="4" customFormat="1" ht="12">
      <c r="A1199" s="106">
        <v>240314</v>
      </c>
      <c r="B1199" s="119" t="s">
        <v>1086</v>
      </c>
      <c r="C1199" s="103">
        <v>214617446</v>
      </c>
      <c r="D1199" s="111" t="s">
        <v>1562</v>
      </c>
      <c r="E1199" s="95">
        <v>3141</v>
      </c>
      <c r="F1199" s="35">
        <v>0</v>
      </c>
    </row>
    <row r="1200" spans="1:6" s="4" customFormat="1" ht="12">
      <c r="A1200" s="106">
        <v>240314</v>
      </c>
      <c r="B1200" s="119" t="s">
        <v>1086</v>
      </c>
      <c r="C1200" s="103">
        <v>218617486</v>
      </c>
      <c r="D1200" s="111" t="s">
        <v>1563</v>
      </c>
      <c r="E1200" s="95">
        <v>27840</v>
      </c>
      <c r="F1200" s="35">
        <v>0</v>
      </c>
    </row>
    <row r="1201" spans="1:6" s="4" customFormat="1" ht="12">
      <c r="A1201" s="106">
        <v>240314</v>
      </c>
      <c r="B1201" s="119" t="s">
        <v>1086</v>
      </c>
      <c r="C1201" s="103">
        <v>219517495</v>
      </c>
      <c r="D1201" s="111" t="s">
        <v>1564</v>
      </c>
      <c r="E1201" s="95">
        <v>8872</v>
      </c>
      <c r="F1201" s="35">
        <v>0</v>
      </c>
    </row>
    <row r="1202" spans="1:6" s="4" customFormat="1" ht="12">
      <c r="A1202" s="106">
        <v>240314</v>
      </c>
      <c r="B1202" s="119" t="s">
        <v>1086</v>
      </c>
      <c r="C1202" s="103">
        <v>211317513</v>
      </c>
      <c r="D1202" s="111" t="s">
        <v>1565</v>
      </c>
      <c r="E1202" s="95">
        <v>18554</v>
      </c>
      <c r="F1202" s="35">
        <v>0</v>
      </c>
    </row>
    <row r="1203" spans="1:6" s="4" customFormat="1" ht="12">
      <c r="A1203" s="106">
        <v>240314</v>
      </c>
      <c r="B1203" s="119" t="s">
        <v>1086</v>
      </c>
      <c r="C1203" s="103">
        <v>212417524</v>
      </c>
      <c r="D1203" s="111" t="s">
        <v>1566</v>
      </c>
      <c r="E1203" s="95">
        <v>20826</v>
      </c>
      <c r="F1203" s="35">
        <v>0</v>
      </c>
    </row>
    <row r="1204" spans="1:6" s="4" customFormat="1" ht="12">
      <c r="A1204" s="106">
        <v>240314</v>
      </c>
      <c r="B1204" s="119" t="s">
        <v>1086</v>
      </c>
      <c r="C1204" s="103">
        <v>214117541</v>
      </c>
      <c r="D1204" s="111" t="s">
        <v>1567</v>
      </c>
      <c r="E1204" s="95">
        <v>29486</v>
      </c>
      <c r="F1204" s="35">
        <v>0</v>
      </c>
    </row>
    <row r="1205" spans="1:6" s="4" customFormat="1" ht="12">
      <c r="A1205" s="106">
        <v>240314</v>
      </c>
      <c r="B1205" s="119" t="s">
        <v>1086</v>
      </c>
      <c r="C1205" s="103">
        <v>211527615</v>
      </c>
      <c r="D1205" s="111" t="s">
        <v>1568</v>
      </c>
      <c r="E1205" s="95">
        <v>64176</v>
      </c>
      <c r="F1205" s="35">
        <v>0</v>
      </c>
    </row>
    <row r="1206" spans="1:6" s="4" customFormat="1" ht="12">
      <c r="A1206" s="106">
        <v>240314</v>
      </c>
      <c r="B1206" s="119" t="s">
        <v>1086</v>
      </c>
      <c r="C1206" s="103">
        <v>211617616</v>
      </c>
      <c r="D1206" s="111" t="s">
        <v>1105</v>
      </c>
      <c r="E1206" s="95">
        <v>29563</v>
      </c>
      <c r="F1206" s="35">
        <v>0</v>
      </c>
    </row>
    <row r="1207" spans="1:6" s="4" customFormat="1" ht="12">
      <c r="A1207" s="106">
        <v>240314</v>
      </c>
      <c r="B1207" s="119" t="s">
        <v>1086</v>
      </c>
      <c r="C1207" s="103">
        <v>215317653</v>
      </c>
      <c r="D1207" s="111" t="s">
        <v>1569</v>
      </c>
      <c r="E1207" s="95">
        <v>22764</v>
      </c>
      <c r="F1207" s="35">
        <v>0</v>
      </c>
    </row>
    <row r="1208" spans="1:6" s="4" customFormat="1" ht="12">
      <c r="A1208" s="106">
        <v>240314</v>
      </c>
      <c r="B1208" s="119" t="s">
        <v>1086</v>
      </c>
      <c r="C1208" s="103">
        <v>216217662</v>
      </c>
      <c r="D1208" s="111" t="s">
        <v>1570</v>
      </c>
      <c r="E1208" s="95">
        <v>28891</v>
      </c>
      <c r="F1208" s="35">
        <v>0</v>
      </c>
    </row>
    <row r="1209" spans="1:6" s="4" customFormat="1" ht="12">
      <c r="A1209" s="106">
        <v>240314</v>
      </c>
      <c r="B1209" s="119" t="s">
        <v>1086</v>
      </c>
      <c r="C1209" s="103">
        <v>216517665</v>
      </c>
      <c r="D1209" s="111" t="s">
        <v>1571</v>
      </c>
      <c r="E1209" s="95">
        <v>6946</v>
      </c>
      <c r="F1209" s="35">
        <v>0</v>
      </c>
    </row>
    <row r="1210" spans="1:6" s="4" customFormat="1" ht="12">
      <c r="A1210" s="106">
        <v>240314</v>
      </c>
      <c r="B1210" s="119" t="s">
        <v>1086</v>
      </c>
      <c r="C1210" s="103">
        <v>217717777</v>
      </c>
      <c r="D1210" s="111" t="s">
        <v>1572</v>
      </c>
      <c r="E1210" s="95">
        <v>41027</v>
      </c>
      <c r="F1210" s="35">
        <v>0</v>
      </c>
    </row>
    <row r="1211" spans="1:6" s="4" customFormat="1" ht="12">
      <c r="A1211" s="106">
        <v>240314</v>
      </c>
      <c r="B1211" s="119" t="s">
        <v>1086</v>
      </c>
      <c r="C1211" s="103">
        <v>216717867</v>
      </c>
      <c r="D1211" s="111" t="s">
        <v>1573</v>
      </c>
      <c r="E1211" s="95">
        <v>11167</v>
      </c>
      <c r="F1211" s="35">
        <v>0</v>
      </c>
    </row>
    <row r="1212" spans="1:6" s="4" customFormat="1" ht="12">
      <c r="A1212" s="106">
        <v>240314</v>
      </c>
      <c r="B1212" s="119" t="s">
        <v>1086</v>
      </c>
      <c r="C1212" s="103">
        <v>217317873</v>
      </c>
      <c r="D1212" s="111" t="s">
        <v>1574</v>
      </c>
      <c r="E1212" s="95">
        <v>44355</v>
      </c>
      <c r="F1212" s="35">
        <v>0</v>
      </c>
    </row>
    <row r="1213" spans="1:6" s="4" customFormat="1" ht="12">
      <c r="A1213" s="106">
        <v>240314</v>
      </c>
      <c r="B1213" s="119" t="s">
        <v>1086</v>
      </c>
      <c r="C1213" s="103">
        <v>217717877</v>
      </c>
      <c r="D1213" s="111" t="s">
        <v>1575</v>
      </c>
      <c r="E1213" s="95">
        <v>18756</v>
      </c>
      <c r="F1213" s="35">
        <v>0</v>
      </c>
    </row>
    <row r="1214" spans="1:6" s="4" customFormat="1" ht="12">
      <c r="A1214" s="106">
        <v>240314</v>
      </c>
      <c r="B1214" s="119" t="s">
        <v>1086</v>
      </c>
      <c r="C1214" s="103">
        <v>212918029</v>
      </c>
      <c r="D1214" s="111" t="s">
        <v>1576</v>
      </c>
      <c r="E1214" s="95">
        <v>9336</v>
      </c>
      <c r="F1214" s="35">
        <v>0</v>
      </c>
    </row>
    <row r="1215" spans="1:6" s="4" customFormat="1" ht="12">
      <c r="A1215" s="106">
        <v>240314</v>
      </c>
      <c r="B1215" s="119" t="s">
        <v>1086</v>
      </c>
      <c r="C1215" s="103">
        <v>219418094</v>
      </c>
      <c r="D1215" s="111" t="s">
        <v>1577</v>
      </c>
      <c r="E1215" s="95">
        <v>17338</v>
      </c>
      <c r="F1215" s="35">
        <v>0</v>
      </c>
    </row>
    <row r="1216" spans="1:6" s="4" customFormat="1" ht="12">
      <c r="A1216" s="106">
        <v>240314</v>
      </c>
      <c r="B1216" s="119" t="s">
        <v>1086</v>
      </c>
      <c r="C1216" s="103">
        <v>215018150</v>
      </c>
      <c r="D1216" s="111" t="s">
        <v>1843</v>
      </c>
      <c r="E1216" s="95">
        <v>46054</v>
      </c>
      <c r="F1216" s="35">
        <v>0</v>
      </c>
    </row>
    <row r="1217" spans="1:6" s="4" customFormat="1" ht="12">
      <c r="A1217" s="106">
        <v>240314</v>
      </c>
      <c r="B1217" s="119" t="s">
        <v>1086</v>
      </c>
      <c r="C1217" s="103" t="s">
        <v>514</v>
      </c>
      <c r="D1217" s="111" t="s">
        <v>1844</v>
      </c>
      <c r="E1217" s="95">
        <v>17672</v>
      </c>
      <c r="F1217" s="35">
        <v>0</v>
      </c>
    </row>
    <row r="1218" spans="1:6" s="4" customFormat="1" ht="12">
      <c r="A1218" s="106">
        <v>240314</v>
      </c>
      <c r="B1218" s="119" t="s">
        <v>1086</v>
      </c>
      <c r="C1218" s="103" t="s">
        <v>2927</v>
      </c>
      <c r="D1218" s="111" t="s">
        <v>1845</v>
      </c>
      <c r="E1218" s="95">
        <v>30891</v>
      </c>
      <c r="F1218" s="35">
        <v>0</v>
      </c>
    </row>
    <row r="1219" spans="1:6" s="4" customFormat="1" ht="12">
      <c r="A1219" s="106">
        <v>240314</v>
      </c>
      <c r="B1219" s="119" t="s">
        <v>1086</v>
      </c>
      <c r="C1219" s="103" t="s">
        <v>2934</v>
      </c>
      <c r="D1219" s="111" t="s">
        <v>1846</v>
      </c>
      <c r="E1219" s="95">
        <v>19499</v>
      </c>
      <c r="F1219" s="35">
        <v>0</v>
      </c>
    </row>
    <row r="1220" spans="1:6" s="4" customFormat="1" ht="12">
      <c r="A1220" s="106">
        <v>240314</v>
      </c>
      <c r="B1220" s="119" t="s">
        <v>1086</v>
      </c>
      <c r="C1220" s="103" t="s">
        <v>1056</v>
      </c>
      <c r="D1220" s="111" t="s">
        <v>1847</v>
      </c>
      <c r="E1220" s="95">
        <v>26726</v>
      </c>
      <c r="F1220" s="35">
        <v>0</v>
      </c>
    </row>
    <row r="1221" spans="1:6" s="4" customFormat="1" ht="12">
      <c r="A1221" s="106">
        <v>240314</v>
      </c>
      <c r="B1221" s="119" t="s">
        <v>1086</v>
      </c>
      <c r="C1221" s="103" t="s">
        <v>3193</v>
      </c>
      <c r="D1221" s="111" t="s">
        <v>1848</v>
      </c>
      <c r="E1221" s="95">
        <v>24588</v>
      </c>
      <c r="F1221" s="35">
        <v>0</v>
      </c>
    </row>
    <row r="1222" spans="1:6" s="4" customFormat="1" ht="12">
      <c r="A1222" s="106">
        <v>240314</v>
      </c>
      <c r="B1222" s="119" t="s">
        <v>1086</v>
      </c>
      <c r="C1222" s="103" t="s">
        <v>3219</v>
      </c>
      <c r="D1222" s="111" t="s">
        <v>1849</v>
      </c>
      <c r="E1222" s="95">
        <v>5278</v>
      </c>
      <c r="F1222" s="35">
        <v>0</v>
      </c>
    </row>
    <row r="1223" spans="1:6" s="4" customFormat="1" ht="12">
      <c r="A1223" s="106">
        <v>240314</v>
      </c>
      <c r="B1223" s="119" t="s">
        <v>1086</v>
      </c>
      <c r="C1223" s="103" t="s">
        <v>1850</v>
      </c>
      <c r="D1223" s="111" t="s">
        <v>1851</v>
      </c>
      <c r="E1223" s="95">
        <v>59880</v>
      </c>
      <c r="F1223" s="35">
        <v>0</v>
      </c>
    </row>
    <row r="1224" spans="1:6" s="4" customFormat="1" ht="12">
      <c r="A1224" s="106">
        <v>240314</v>
      </c>
      <c r="B1224" s="119" t="s">
        <v>1086</v>
      </c>
      <c r="C1224" s="103">
        <v>211018610</v>
      </c>
      <c r="D1224" s="111" t="s">
        <v>1852</v>
      </c>
      <c r="E1224" s="95">
        <v>21555</v>
      </c>
      <c r="F1224" s="35">
        <v>0</v>
      </c>
    </row>
    <row r="1225" spans="1:6" s="4" customFormat="1" ht="12">
      <c r="A1225" s="106">
        <v>240314</v>
      </c>
      <c r="B1225" s="119" t="s">
        <v>1086</v>
      </c>
      <c r="C1225" s="103">
        <v>215318753</v>
      </c>
      <c r="D1225" s="111" t="s">
        <v>1853</v>
      </c>
      <c r="E1225" s="95">
        <v>90770</v>
      </c>
      <c r="F1225" s="35">
        <v>0</v>
      </c>
    </row>
    <row r="1226" spans="1:6" s="4" customFormat="1" ht="12">
      <c r="A1226" s="106">
        <v>240314</v>
      </c>
      <c r="B1226" s="119" t="s">
        <v>1086</v>
      </c>
      <c r="C1226" s="103">
        <v>215618756</v>
      </c>
      <c r="D1226" s="111" t="s">
        <v>1854</v>
      </c>
      <c r="E1226" s="95">
        <v>19945</v>
      </c>
      <c r="F1226" s="35">
        <v>0</v>
      </c>
    </row>
    <row r="1227" spans="1:6" s="4" customFormat="1" ht="12">
      <c r="A1227" s="106">
        <v>240314</v>
      </c>
      <c r="B1227" s="119" t="s">
        <v>1086</v>
      </c>
      <c r="C1227" s="103">
        <v>218518785</v>
      </c>
      <c r="D1227" s="111" t="s">
        <v>1855</v>
      </c>
      <c r="E1227" s="95">
        <v>13186</v>
      </c>
      <c r="F1227" s="35">
        <v>0</v>
      </c>
    </row>
    <row r="1228" spans="1:6" s="4" customFormat="1" ht="12">
      <c r="A1228" s="106">
        <v>240314</v>
      </c>
      <c r="B1228" s="119" t="s">
        <v>1086</v>
      </c>
      <c r="C1228" s="103">
        <v>216018860</v>
      </c>
      <c r="D1228" s="111" t="s">
        <v>1316</v>
      </c>
      <c r="E1228" s="95">
        <v>15414</v>
      </c>
      <c r="F1228" s="35">
        <v>0</v>
      </c>
    </row>
    <row r="1229" spans="1:6" s="4" customFormat="1" ht="12">
      <c r="A1229" s="106">
        <v>240314</v>
      </c>
      <c r="B1229" s="119" t="s">
        <v>1086</v>
      </c>
      <c r="C1229" s="103" t="s">
        <v>1856</v>
      </c>
      <c r="D1229" s="111" t="s">
        <v>1857</v>
      </c>
      <c r="E1229" s="95">
        <v>23408</v>
      </c>
      <c r="F1229" s="35">
        <v>0</v>
      </c>
    </row>
    <row r="1230" spans="1:6" s="4" customFormat="1" ht="12">
      <c r="A1230" s="106">
        <v>240314</v>
      </c>
      <c r="B1230" s="119" t="s">
        <v>1086</v>
      </c>
      <c r="C1230" s="103" t="s">
        <v>1858</v>
      </c>
      <c r="D1230" s="111" t="s">
        <v>1187</v>
      </c>
      <c r="E1230" s="95">
        <v>34152</v>
      </c>
      <c r="F1230" s="35">
        <v>0</v>
      </c>
    </row>
    <row r="1231" spans="1:6" s="4" customFormat="1" ht="12">
      <c r="A1231" s="106">
        <v>240314</v>
      </c>
      <c r="B1231" s="119" t="s">
        <v>1086</v>
      </c>
      <c r="C1231" s="103" t="s">
        <v>319</v>
      </c>
      <c r="D1231" s="111" t="s">
        <v>1859</v>
      </c>
      <c r="E1231" s="95">
        <v>23531</v>
      </c>
      <c r="F1231" s="35">
        <v>0</v>
      </c>
    </row>
    <row r="1232" spans="1:6" s="4" customFormat="1" ht="12">
      <c r="A1232" s="106">
        <v>240314</v>
      </c>
      <c r="B1232" s="119" t="s">
        <v>1086</v>
      </c>
      <c r="C1232" s="103" t="s">
        <v>1860</v>
      </c>
      <c r="D1232" s="111" t="s">
        <v>1089</v>
      </c>
      <c r="E1232" s="95">
        <v>73713</v>
      </c>
      <c r="F1232" s="35">
        <v>0</v>
      </c>
    </row>
    <row r="1233" spans="1:6" s="4" customFormat="1" ht="12">
      <c r="A1233" s="106">
        <v>240314</v>
      </c>
      <c r="B1233" s="119" t="s">
        <v>1086</v>
      </c>
      <c r="C1233" s="103" t="s">
        <v>1861</v>
      </c>
      <c r="D1233" s="111" t="s">
        <v>1862</v>
      </c>
      <c r="E1233" s="95">
        <v>44277</v>
      </c>
      <c r="F1233" s="35">
        <v>0</v>
      </c>
    </row>
    <row r="1234" spans="1:6" s="4" customFormat="1" ht="12">
      <c r="A1234" s="106">
        <v>240314</v>
      </c>
      <c r="B1234" s="119" t="s">
        <v>1086</v>
      </c>
      <c r="C1234" s="103" t="s">
        <v>1863</v>
      </c>
      <c r="D1234" s="111" t="s">
        <v>1864</v>
      </c>
      <c r="E1234" s="95">
        <v>45381</v>
      </c>
      <c r="F1234" s="35">
        <v>0</v>
      </c>
    </row>
    <row r="1235" spans="1:6" s="4" customFormat="1" ht="12">
      <c r="A1235" s="106">
        <v>240314</v>
      </c>
      <c r="B1235" s="119" t="s">
        <v>1086</v>
      </c>
      <c r="C1235" s="103">
        <v>213719137</v>
      </c>
      <c r="D1235" s="111" t="s">
        <v>1865</v>
      </c>
      <c r="E1235" s="95">
        <v>59888</v>
      </c>
      <c r="F1235" s="35">
        <v>0</v>
      </c>
    </row>
    <row r="1236" spans="1:6" s="4" customFormat="1" ht="12">
      <c r="A1236" s="106">
        <v>240314</v>
      </c>
      <c r="B1236" s="119" t="s">
        <v>1086</v>
      </c>
      <c r="C1236" s="103">
        <v>214219142</v>
      </c>
      <c r="D1236" s="111" t="s">
        <v>1866</v>
      </c>
      <c r="E1236" s="95">
        <v>60087</v>
      </c>
      <c r="F1236" s="35">
        <v>0</v>
      </c>
    </row>
    <row r="1237" spans="1:6" s="4" customFormat="1" ht="12">
      <c r="A1237" s="106">
        <v>240314</v>
      </c>
      <c r="B1237" s="119" t="s">
        <v>1086</v>
      </c>
      <c r="C1237" s="103">
        <v>211219212</v>
      </c>
      <c r="D1237" s="111" t="s">
        <v>1867</v>
      </c>
      <c r="E1237" s="95">
        <v>36198</v>
      </c>
      <c r="F1237" s="35">
        <v>0</v>
      </c>
    </row>
    <row r="1238" spans="1:6" s="4" customFormat="1" ht="12">
      <c r="A1238" s="106">
        <v>240314</v>
      </c>
      <c r="B1238" s="119" t="s">
        <v>1086</v>
      </c>
      <c r="C1238" s="103">
        <v>215619256</v>
      </c>
      <c r="D1238" s="111" t="s">
        <v>1868</v>
      </c>
      <c r="E1238" s="95">
        <v>90143</v>
      </c>
      <c r="F1238" s="35">
        <v>0</v>
      </c>
    </row>
    <row r="1239" spans="1:6" s="4" customFormat="1" ht="12">
      <c r="A1239" s="106">
        <v>240314</v>
      </c>
      <c r="B1239" s="119" t="s">
        <v>1086</v>
      </c>
      <c r="C1239" s="103">
        <v>219019290</v>
      </c>
      <c r="D1239" s="111" t="s">
        <v>1135</v>
      </c>
      <c r="E1239" s="95">
        <v>6608</v>
      </c>
      <c r="F1239" s="35">
        <v>0</v>
      </c>
    </row>
    <row r="1240" spans="1:6" s="4" customFormat="1" ht="12">
      <c r="A1240" s="106">
        <v>240314</v>
      </c>
      <c r="B1240" s="119" t="s">
        <v>1086</v>
      </c>
      <c r="C1240" s="103">
        <v>211819318</v>
      </c>
      <c r="D1240" s="111" t="s">
        <v>1869</v>
      </c>
      <c r="E1240" s="95">
        <v>81682</v>
      </c>
      <c r="F1240" s="35">
        <v>0</v>
      </c>
    </row>
    <row r="1241" spans="1:6" s="4" customFormat="1" ht="12">
      <c r="A1241" s="106">
        <v>240314</v>
      </c>
      <c r="B1241" s="119" t="s">
        <v>1086</v>
      </c>
      <c r="C1241" s="103">
        <v>215519355</v>
      </c>
      <c r="D1241" s="111" t="s">
        <v>1870</v>
      </c>
      <c r="E1241" s="95">
        <v>54208</v>
      </c>
      <c r="F1241" s="35">
        <v>0</v>
      </c>
    </row>
    <row r="1242" spans="1:6" s="4" customFormat="1" ht="12">
      <c r="A1242" s="106">
        <v>240314</v>
      </c>
      <c r="B1242" s="119" t="s">
        <v>1086</v>
      </c>
      <c r="C1242" s="103">
        <v>216419364</v>
      </c>
      <c r="D1242" s="111" t="s">
        <v>1871</v>
      </c>
      <c r="E1242" s="95">
        <v>30562</v>
      </c>
      <c r="F1242" s="35">
        <v>0</v>
      </c>
    </row>
    <row r="1243" spans="1:6" s="4" customFormat="1" ht="12">
      <c r="A1243" s="106">
        <v>240314</v>
      </c>
      <c r="B1243" s="119" t="s">
        <v>1086</v>
      </c>
      <c r="C1243" s="103">
        <v>219219392</v>
      </c>
      <c r="D1243" s="111" t="s">
        <v>1872</v>
      </c>
      <c r="E1243" s="95">
        <v>15500</v>
      </c>
      <c r="F1243" s="35">
        <v>0</v>
      </c>
    </row>
    <row r="1244" spans="1:6" s="4" customFormat="1" ht="12">
      <c r="A1244" s="106">
        <v>240314</v>
      </c>
      <c r="B1244" s="119" t="s">
        <v>1086</v>
      </c>
      <c r="C1244" s="103">
        <v>219719397</v>
      </c>
      <c r="D1244" s="111" t="s">
        <v>1873</v>
      </c>
      <c r="E1244" s="95">
        <v>34387</v>
      </c>
      <c r="F1244" s="35">
        <v>0</v>
      </c>
    </row>
    <row r="1245" spans="1:6" s="4" customFormat="1" ht="12">
      <c r="A1245" s="106">
        <v>240314</v>
      </c>
      <c r="B1245" s="119" t="s">
        <v>1086</v>
      </c>
      <c r="C1245" s="103">
        <v>211819418</v>
      </c>
      <c r="D1245" s="111" t="s">
        <v>1874</v>
      </c>
      <c r="E1245" s="95">
        <v>67192</v>
      </c>
      <c r="F1245" s="35">
        <v>0</v>
      </c>
    </row>
    <row r="1246" spans="1:6" s="4" customFormat="1" ht="12">
      <c r="A1246" s="106">
        <v>240314</v>
      </c>
      <c r="B1246" s="119" t="s">
        <v>1086</v>
      </c>
      <c r="C1246" s="103">
        <v>215019450</v>
      </c>
      <c r="D1246" s="111" t="s">
        <v>1875</v>
      </c>
      <c r="E1246" s="95">
        <v>22735</v>
      </c>
      <c r="F1246" s="35">
        <v>0</v>
      </c>
    </row>
    <row r="1247" spans="1:6" s="4" customFormat="1" ht="12">
      <c r="A1247" s="106">
        <v>240314</v>
      </c>
      <c r="B1247" s="119" t="s">
        <v>1086</v>
      </c>
      <c r="C1247" s="103">
        <v>215519455</v>
      </c>
      <c r="D1247" s="111" t="s">
        <v>1876</v>
      </c>
      <c r="E1247" s="95">
        <v>35900</v>
      </c>
      <c r="F1247" s="35">
        <v>0</v>
      </c>
    </row>
    <row r="1248" spans="1:6" s="4" customFormat="1" ht="12">
      <c r="A1248" s="106">
        <v>240314</v>
      </c>
      <c r="B1248" s="119" t="s">
        <v>1086</v>
      </c>
      <c r="C1248" s="103">
        <v>217319473</v>
      </c>
      <c r="D1248" s="111" t="s">
        <v>1392</v>
      </c>
      <c r="E1248" s="95">
        <v>41333</v>
      </c>
      <c r="F1248" s="35">
        <v>0</v>
      </c>
    </row>
    <row r="1249" spans="1:6" s="4" customFormat="1" ht="12">
      <c r="A1249" s="106">
        <v>240314</v>
      </c>
      <c r="B1249" s="119" t="s">
        <v>1086</v>
      </c>
      <c r="C1249" s="103">
        <v>211319513</v>
      </c>
      <c r="D1249" s="111" t="s">
        <v>1877</v>
      </c>
      <c r="E1249" s="95">
        <v>14048</v>
      </c>
      <c r="F1249" s="35">
        <v>0</v>
      </c>
    </row>
    <row r="1250" spans="1:6" s="4" customFormat="1" ht="12">
      <c r="A1250" s="106">
        <v>240314</v>
      </c>
      <c r="B1250" s="119" t="s">
        <v>1086</v>
      </c>
      <c r="C1250" s="103">
        <v>211719517</v>
      </c>
      <c r="D1250" s="111" t="s">
        <v>1491</v>
      </c>
      <c r="E1250" s="95">
        <v>91199</v>
      </c>
      <c r="F1250" s="35">
        <v>0</v>
      </c>
    </row>
    <row r="1251" spans="1:6" s="4" customFormat="1" ht="12">
      <c r="A1251" s="106">
        <v>240314</v>
      </c>
      <c r="B1251" s="119" t="s">
        <v>1086</v>
      </c>
      <c r="C1251" s="103">
        <v>213219532</v>
      </c>
      <c r="D1251" s="111" t="s">
        <v>1878</v>
      </c>
      <c r="E1251" s="95">
        <v>42613</v>
      </c>
      <c r="F1251" s="35">
        <v>0</v>
      </c>
    </row>
    <row r="1252" spans="1:6" s="4" customFormat="1" ht="12">
      <c r="A1252" s="106">
        <v>240314</v>
      </c>
      <c r="B1252" s="119" t="s">
        <v>1086</v>
      </c>
      <c r="C1252" s="103">
        <v>213319533</v>
      </c>
      <c r="D1252" s="111" t="s">
        <v>1879</v>
      </c>
      <c r="E1252" s="95">
        <v>14581</v>
      </c>
      <c r="F1252" s="35">
        <v>0</v>
      </c>
    </row>
    <row r="1253" spans="1:6" s="4" customFormat="1" ht="12">
      <c r="A1253" s="106">
        <v>240314</v>
      </c>
      <c r="B1253" s="119" t="s">
        <v>1086</v>
      </c>
      <c r="C1253" s="103">
        <v>214819548</v>
      </c>
      <c r="D1253" s="111" t="s">
        <v>1880</v>
      </c>
      <c r="E1253" s="95">
        <v>45640</v>
      </c>
      <c r="F1253" s="35">
        <v>0</v>
      </c>
    </row>
    <row r="1254" spans="1:6" s="4" customFormat="1" ht="12">
      <c r="A1254" s="106">
        <v>240314</v>
      </c>
      <c r="B1254" s="119" t="s">
        <v>1086</v>
      </c>
      <c r="C1254" s="103">
        <v>217319573</v>
      </c>
      <c r="D1254" s="111" t="s">
        <v>1881</v>
      </c>
      <c r="E1254" s="95">
        <v>61346</v>
      </c>
      <c r="F1254" s="35">
        <v>0</v>
      </c>
    </row>
    <row r="1255" spans="1:6" s="4" customFormat="1" ht="12">
      <c r="A1255" s="106">
        <v>240314</v>
      </c>
      <c r="B1255" s="119" t="s">
        <v>1086</v>
      </c>
      <c r="C1255" s="103">
        <v>218519585</v>
      </c>
      <c r="D1255" s="111" t="s">
        <v>1882</v>
      </c>
      <c r="E1255" s="95">
        <v>28044</v>
      </c>
      <c r="F1255" s="35">
        <v>0</v>
      </c>
    </row>
    <row r="1256" spans="1:6" s="4" customFormat="1" ht="12">
      <c r="A1256" s="106">
        <v>240314</v>
      </c>
      <c r="B1256" s="119" t="s">
        <v>1086</v>
      </c>
      <c r="C1256" s="103">
        <v>212219622</v>
      </c>
      <c r="D1256" s="111" t="s">
        <v>1883</v>
      </c>
      <c r="E1256" s="95">
        <v>14348</v>
      </c>
      <c r="F1256" s="35">
        <v>0</v>
      </c>
    </row>
    <row r="1257" spans="1:6" s="4" customFormat="1" ht="12">
      <c r="A1257" s="106">
        <v>240314</v>
      </c>
      <c r="B1257" s="119" t="s">
        <v>1086</v>
      </c>
      <c r="C1257" s="103">
        <v>219319693</v>
      </c>
      <c r="D1257" s="111" t="s">
        <v>1884</v>
      </c>
      <c r="E1257" s="95">
        <v>14110</v>
      </c>
      <c r="F1257" s="35">
        <v>0</v>
      </c>
    </row>
    <row r="1258" spans="1:6" s="4" customFormat="1" ht="12">
      <c r="A1258" s="106">
        <v>240314</v>
      </c>
      <c r="B1258" s="119" t="s">
        <v>1086</v>
      </c>
      <c r="C1258" s="103">
        <v>219819698</v>
      </c>
      <c r="D1258" s="111" t="s">
        <v>1885</v>
      </c>
      <c r="E1258" s="95">
        <v>113635</v>
      </c>
      <c r="F1258" s="35">
        <v>0</v>
      </c>
    </row>
    <row r="1259" spans="1:6" s="4" customFormat="1" ht="12">
      <c r="A1259" s="106">
        <v>240314</v>
      </c>
      <c r="B1259" s="119" t="s">
        <v>1086</v>
      </c>
      <c r="C1259" s="103">
        <v>210119701</v>
      </c>
      <c r="D1259" s="111" t="s">
        <v>1411</v>
      </c>
      <c r="E1259" s="95">
        <v>11706</v>
      </c>
      <c r="F1259" s="35">
        <v>0</v>
      </c>
    </row>
    <row r="1260" spans="1:6" s="4" customFormat="1" ht="12">
      <c r="A1260" s="106">
        <v>240314</v>
      </c>
      <c r="B1260" s="119" t="s">
        <v>1086</v>
      </c>
      <c r="C1260" s="103">
        <v>214319743</v>
      </c>
      <c r="D1260" s="111" t="s">
        <v>1886</v>
      </c>
      <c r="E1260" s="95">
        <v>89833</v>
      </c>
      <c r="F1260" s="35">
        <v>0</v>
      </c>
    </row>
    <row r="1261" spans="1:6" s="4" customFormat="1" ht="12">
      <c r="A1261" s="106">
        <v>240314</v>
      </c>
      <c r="B1261" s="119" t="s">
        <v>1086</v>
      </c>
      <c r="C1261" s="103">
        <v>216019760</v>
      </c>
      <c r="D1261" s="111" t="s">
        <v>1887</v>
      </c>
      <c r="E1261" s="95">
        <v>17036</v>
      </c>
      <c r="F1261" s="35">
        <v>0</v>
      </c>
    </row>
    <row r="1262" spans="1:6" s="4" customFormat="1" ht="12">
      <c r="A1262" s="106">
        <v>240314</v>
      </c>
      <c r="B1262" s="119" t="s">
        <v>1086</v>
      </c>
      <c r="C1262" s="103">
        <v>218019780</v>
      </c>
      <c r="D1262" s="111" t="s">
        <v>1888</v>
      </c>
      <c r="E1262" s="95">
        <v>35631</v>
      </c>
      <c r="F1262" s="35">
        <v>0</v>
      </c>
    </row>
    <row r="1263" spans="1:6" s="4" customFormat="1" ht="12">
      <c r="A1263" s="106">
        <v>240314</v>
      </c>
      <c r="B1263" s="119" t="s">
        <v>1086</v>
      </c>
      <c r="C1263" s="103">
        <v>218519785</v>
      </c>
      <c r="D1263" s="111" t="s">
        <v>1107</v>
      </c>
      <c r="E1263" s="95">
        <v>10318</v>
      </c>
      <c r="F1263" s="35">
        <v>0</v>
      </c>
    </row>
    <row r="1264" spans="1:6" s="4" customFormat="1" ht="12">
      <c r="A1264" s="106">
        <v>240314</v>
      </c>
      <c r="B1264" s="119" t="s">
        <v>1086</v>
      </c>
      <c r="C1264" s="103">
        <v>210719807</v>
      </c>
      <c r="D1264" s="111" t="s">
        <v>1889</v>
      </c>
      <c r="E1264" s="95">
        <v>43091</v>
      </c>
      <c r="F1264" s="35">
        <v>0</v>
      </c>
    </row>
    <row r="1265" spans="1:6" s="4" customFormat="1" ht="12">
      <c r="A1265" s="106">
        <v>240314</v>
      </c>
      <c r="B1265" s="119" t="s">
        <v>1086</v>
      </c>
      <c r="C1265" s="106">
        <v>210919809</v>
      </c>
      <c r="D1265" s="111" t="s">
        <v>1890</v>
      </c>
      <c r="E1265" s="95">
        <v>62113</v>
      </c>
      <c r="F1265" s="35">
        <v>0</v>
      </c>
    </row>
    <row r="1266" spans="1:6" s="4" customFormat="1" ht="12">
      <c r="A1266" s="106">
        <v>240314</v>
      </c>
      <c r="B1266" s="119" t="s">
        <v>1086</v>
      </c>
      <c r="C1266" s="106">
        <v>212119821</v>
      </c>
      <c r="D1266" s="111" t="s">
        <v>1891</v>
      </c>
      <c r="E1266" s="95">
        <v>96535</v>
      </c>
      <c r="F1266" s="35">
        <v>0</v>
      </c>
    </row>
    <row r="1267" spans="1:6" s="4" customFormat="1" ht="12">
      <c r="A1267" s="106">
        <v>240314</v>
      </c>
      <c r="B1267" s="119" t="s">
        <v>1086</v>
      </c>
      <c r="C1267" s="103">
        <v>212419824</v>
      </c>
      <c r="D1267" s="111" t="s">
        <v>1892</v>
      </c>
      <c r="E1267" s="95">
        <v>28851</v>
      </c>
      <c r="F1267" s="35">
        <v>0</v>
      </c>
    </row>
    <row r="1268" spans="1:6" s="4" customFormat="1" ht="12">
      <c r="A1268" s="106">
        <v>240314</v>
      </c>
      <c r="B1268" s="119" t="s">
        <v>1086</v>
      </c>
      <c r="C1268" s="106">
        <v>214519845</v>
      </c>
      <c r="D1268" s="111" t="s">
        <v>1893</v>
      </c>
      <c r="E1268" s="95">
        <v>17478</v>
      </c>
      <c r="F1268" s="35">
        <v>0</v>
      </c>
    </row>
    <row r="1269" spans="1:6" s="4" customFormat="1" ht="12">
      <c r="A1269" s="106">
        <v>240314</v>
      </c>
      <c r="B1269" s="119" t="s">
        <v>1086</v>
      </c>
      <c r="C1269" s="106" t="s">
        <v>1894</v>
      </c>
      <c r="D1269" s="111" t="s">
        <v>1895</v>
      </c>
      <c r="E1269" s="95">
        <v>112719</v>
      </c>
      <c r="F1269" s="35">
        <v>0</v>
      </c>
    </row>
    <row r="1270" spans="1:6" s="4" customFormat="1" ht="12">
      <c r="A1270" s="106">
        <v>240314</v>
      </c>
      <c r="B1270" s="119" t="s">
        <v>1086</v>
      </c>
      <c r="C1270" s="106" t="s">
        <v>1896</v>
      </c>
      <c r="D1270" s="111" t="s">
        <v>1897</v>
      </c>
      <c r="E1270" s="95">
        <v>78134</v>
      </c>
      <c r="F1270" s="35">
        <v>0</v>
      </c>
    </row>
    <row r="1271" spans="1:6" s="4" customFormat="1" ht="12">
      <c r="A1271" s="106">
        <v>240314</v>
      </c>
      <c r="B1271" s="119" t="s">
        <v>1086</v>
      </c>
      <c r="C1271" s="106" t="s">
        <v>1898</v>
      </c>
      <c r="D1271" s="111" t="s">
        <v>1899</v>
      </c>
      <c r="E1271" s="95">
        <v>36193</v>
      </c>
      <c r="F1271" s="35">
        <v>0</v>
      </c>
    </row>
    <row r="1272" spans="1:6" s="4" customFormat="1" ht="12">
      <c r="A1272" s="106">
        <v>240314</v>
      </c>
      <c r="B1272" s="119" t="s">
        <v>1086</v>
      </c>
      <c r="C1272" s="106" t="s">
        <v>331</v>
      </c>
      <c r="D1272" s="111" t="s">
        <v>1900</v>
      </c>
      <c r="E1272" s="95">
        <v>26176</v>
      </c>
      <c r="F1272" s="35">
        <v>0</v>
      </c>
    </row>
    <row r="1273" spans="1:6" s="4" customFormat="1" ht="12">
      <c r="A1273" s="106">
        <v>240314</v>
      </c>
      <c r="B1273" s="119" t="s">
        <v>1086</v>
      </c>
      <c r="C1273" s="106" t="s">
        <v>1901</v>
      </c>
      <c r="D1273" s="111" t="s">
        <v>1902</v>
      </c>
      <c r="E1273" s="95">
        <v>39079</v>
      </c>
      <c r="F1273" s="35">
        <v>0</v>
      </c>
    </row>
    <row r="1274" spans="1:6" s="4" customFormat="1" ht="12">
      <c r="A1274" s="106">
        <v>240314</v>
      </c>
      <c r="B1274" s="119" t="s">
        <v>1086</v>
      </c>
      <c r="C1274" s="106" t="s">
        <v>1903</v>
      </c>
      <c r="D1274" s="111" t="s">
        <v>1904</v>
      </c>
      <c r="E1274" s="95">
        <v>63259</v>
      </c>
      <c r="F1274" s="35">
        <v>0</v>
      </c>
    </row>
    <row r="1275" spans="1:6" s="4" customFormat="1" ht="12">
      <c r="A1275" s="106">
        <v>240314</v>
      </c>
      <c r="B1275" s="119" t="s">
        <v>1086</v>
      </c>
      <c r="C1275" s="106">
        <v>217820178</v>
      </c>
      <c r="D1275" s="111" t="s">
        <v>1905</v>
      </c>
      <c r="E1275" s="95">
        <v>40595</v>
      </c>
      <c r="F1275" s="35">
        <v>0</v>
      </c>
    </row>
    <row r="1276" spans="1:6" s="4" customFormat="1" ht="12">
      <c r="A1276" s="106">
        <v>240314</v>
      </c>
      <c r="B1276" s="119" t="s">
        <v>1086</v>
      </c>
      <c r="C1276" s="106" t="s">
        <v>517</v>
      </c>
      <c r="D1276" s="111" t="s">
        <v>1906</v>
      </c>
      <c r="E1276" s="95">
        <v>51118</v>
      </c>
      <c r="F1276" s="35">
        <v>0</v>
      </c>
    </row>
    <row r="1277" spans="1:6" s="4" customFormat="1" ht="12">
      <c r="A1277" s="106">
        <v>240314</v>
      </c>
      <c r="B1277" s="119" t="s">
        <v>1086</v>
      </c>
      <c r="C1277" s="103" t="s">
        <v>1907</v>
      </c>
      <c r="D1277" s="111" t="s">
        <v>1908</v>
      </c>
      <c r="E1277" s="95">
        <v>37521</v>
      </c>
      <c r="F1277" s="35">
        <v>0</v>
      </c>
    </row>
    <row r="1278" spans="1:6" s="4" customFormat="1" ht="12">
      <c r="A1278" s="106">
        <v>240314</v>
      </c>
      <c r="B1278" s="119" t="s">
        <v>1086</v>
      </c>
      <c r="C1278" s="103" t="s">
        <v>1909</v>
      </c>
      <c r="D1278" s="111" t="s">
        <v>1910</v>
      </c>
      <c r="E1278" s="95">
        <v>37515</v>
      </c>
      <c r="F1278" s="35">
        <v>0</v>
      </c>
    </row>
    <row r="1279" spans="1:6" s="4" customFormat="1" ht="12">
      <c r="A1279" s="106">
        <v>240314</v>
      </c>
      <c r="B1279" s="119" t="s">
        <v>1086</v>
      </c>
      <c r="C1279" s="106" t="s">
        <v>1911</v>
      </c>
      <c r="D1279" s="111" t="s">
        <v>1912</v>
      </c>
      <c r="E1279" s="95">
        <v>17344</v>
      </c>
      <c r="F1279" s="35">
        <v>0</v>
      </c>
    </row>
    <row r="1280" spans="1:6" s="4" customFormat="1" ht="12">
      <c r="A1280" s="106">
        <v>240314</v>
      </c>
      <c r="B1280" s="119" t="s">
        <v>1086</v>
      </c>
      <c r="C1280" s="103" t="s">
        <v>1913</v>
      </c>
      <c r="D1280" s="111" t="s">
        <v>1914</v>
      </c>
      <c r="E1280" s="95">
        <v>6621</v>
      </c>
      <c r="F1280" s="35">
        <v>0</v>
      </c>
    </row>
    <row r="1281" spans="1:6" s="4" customFormat="1" ht="12">
      <c r="A1281" s="106">
        <v>240314</v>
      </c>
      <c r="B1281" s="119" t="s">
        <v>1086</v>
      </c>
      <c r="C1281" s="106" t="s">
        <v>1915</v>
      </c>
      <c r="D1281" s="111" t="s">
        <v>1916</v>
      </c>
      <c r="E1281" s="95">
        <v>21978</v>
      </c>
      <c r="F1281" s="35">
        <v>0</v>
      </c>
    </row>
    <row r="1282" spans="1:6" s="4" customFormat="1" ht="12">
      <c r="A1282" s="106">
        <v>240314</v>
      </c>
      <c r="B1282" s="119" t="s">
        <v>1086</v>
      </c>
      <c r="C1282" s="103" t="s">
        <v>1917</v>
      </c>
      <c r="D1282" s="111" t="s">
        <v>1918</v>
      </c>
      <c r="E1282" s="95">
        <v>43056</v>
      </c>
      <c r="F1282" s="35">
        <v>0</v>
      </c>
    </row>
    <row r="1283" spans="1:6" s="4" customFormat="1" ht="12">
      <c r="A1283" s="106">
        <v>240314</v>
      </c>
      <c r="B1283" s="119" t="s">
        <v>1086</v>
      </c>
      <c r="C1283" s="103" t="s">
        <v>1919</v>
      </c>
      <c r="D1283" s="111" t="s">
        <v>1920</v>
      </c>
      <c r="E1283" s="95">
        <v>14203</v>
      </c>
      <c r="F1283" s="35">
        <v>0</v>
      </c>
    </row>
    <row r="1284" spans="1:6" s="4" customFormat="1" ht="12">
      <c r="A1284" s="106">
        <v>240314</v>
      </c>
      <c r="B1284" s="119" t="s">
        <v>1086</v>
      </c>
      <c r="C1284" s="103" t="s">
        <v>1921</v>
      </c>
      <c r="D1284" s="111" t="s">
        <v>1922</v>
      </c>
      <c r="E1284" s="95">
        <v>23869</v>
      </c>
      <c r="F1284" s="35">
        <v>0</v>
      </c>
    </row>
    <row r="1285" spans="1:6" s="4" customFormat="1" ht="12">
      <c r="A1285" s="106">
        <v>240314</v>
      </c>
      <c r="B1285" s="119" t="s">
        <v>1086</v>
      </c>
      <c r="C1285" s="106" t="s">
        <v>613</v>
      </c>
      <c r="D1285" s="111" t="s">
        <v>1923</v>
      </c>
      <c r="E1285" s="95">
        <v>29117</v>
      </c>
      <c r="F1285" s="35">
        <v>0</v>
      </c>
    </row>
    <row r="1286" spans="1:6" s="4" customFormat="1" ht="12">
      <c r="A1286" s="106">
        <v>240314</v>
      </c>
      <c r="B1286" s="119" t="s">
        <v>1086</v>
      </c>
      <c r="C1286" s="103" t="s">
        <v>1924</v>
      </c>
      <c r="D1286" s="111" t="s">
        <v>1925</v>
      </c>
      <c r="E1286" s="95">
        <v>33088</v>
      </c>
      <c r="F1286" s="35">
        <v>0</v>
      </c>
    </row>
    <row r="1287" spans="1:6" s="4" customFormat="1" ht="12">
      <c r="A1287" s="106">
        <v>240314</v>
      </c>
      <c r="B1287" s="119" t="s">
        <v>1086</v>
      </c>
      <c r="C1287" s="103" t="s">
        <v>1926</v>
      </c>
      <c r="D1287" s="111" t="s">
        <v>1927</v>
      </c>
      <c r="E1287" s="95">
        <v>24833</v>
      </c>
      <c r="F1287" s="35">
        <v>0</v>
      </c>
    </row>
    <row r="1288" spans="1:6" s="4" customFormat="1" ht="12">
      <c r="A1288" s="106">
        <v>240314</v>
      </c>
      <c r="B1288" s="119" t="s">
        <v>1086</v>
      </c>
      <c r="C1288" s="103" t="s">
        <v>3115</v>
      </c>
      <c r="D1288" s="111" t="s">
        <v>1928</v>
      </c>
      <c r="E1288" s="95">
        <v>36485</v>
      </c>
      <c r="F1288" s="35">
        <v>0</v>
      </c>
    </row>
    <row r="1289" spans="1:6" s="4" customFormat="1" ht="12">
      <c r="A1289" s="106">
        <v>240314</v>
      </c>
      <c r="B1289" s="119" t="s">
        <v>1086</v>
      </c>
      <c r="C1289" s="103" t="s">
        <v>1929</v>
      </c>
      <c r="D1289" s="111" t="s">
        <v>1930</v>
      </c>
      <c r="E1289" s="95">
        <v>26364</v>
      </c>
      <c r="F1289" s="35">
        <v>0</v>
      </c>
    </row>
    <row r="1290" spans="1:6" s="4" customFormat="1" ht="12">
      <c r="A1290" s="106">
        <v>240314</v>
      </c>
      <c r="B1290" s="119" t="s">
        <v>1086</v>
      </c>
      <c r="C1290" s="103" t="s">
        <v>1931</v>
      </c>
      <c r="D1290" s="111" t="s">
        <v>1932</v>
      </c>
      <c r="E1290" s="95">
        <v>19737</v>
      </c>
      <c r="F1290" s="35">
        <v>0</v>
      </c>
    </row>
    <row r="1291" spans="1:6" s="4" customFormat="1" ht="12">
      <c r="A1291" s="106">
        <v>240314</v>
      </c>
      <c r="B1291" s="119" t="s">
        <v>1086</v>
      </c>
      <c r="C1291" s="103" t="s">
        <v>1933</v>
      </c>
      <c r="D1291" s="111" t="s">
        <v>1934</v>
      </c>
      <c r="E1291" s="95">
        <v>24876</v>
      </c>
      <c r="F1291" s="35">
        <v>0</v>
      </c>
    </row>
    <row r="1292" spans="1:6" s="4" customFormat="1" ht="12">
      <c r="A1292" s="106">
        <v>240314</v>
      </c>
      <c r="B1292" s="119" t="s">
        <v>1086</v>
      </c>
      <c r="C1292" s="106" t="s">
        <v>1935</v>
      </c>
      <c r="D1292" s="111" t="s">
        <v>1936</v>
      </c>
      <c r="E1292" s="95">
        <v>28768</v>
      </c>
      <c r="F1292" s="35">
        <v>0</v>
      </c>
    </row>
    <row r="1293" spans="1:6" s="4" customFormat="1" ht="12">
      <c r="A1293" s="106">
        <v>240314</v>
      </c>
      <c r="B1293" s="119" t="s">
        <v>1086</v>
      </c>
      <c r="C1293" s="103" t="s">
        <v>315</v>
      </c>
      <c r="D1293" s="111" t="s">
        <v>1937</v>
      </c>
      <c r="E1293" s="95">
        <v>73013</v>
      </c>
      <c r="F1293" s="35">
        <v>0</v>
      </c>
    </row>
    <row r="1294" spans="1:6" s="4" customFormat="1" ht="12">
      <c r="A1294" s="106">
        <v>240314</v>
      </c>
      <c r="B1294" s="119" t="s">
        <v>1086</v>
      </c>
      <c r="C1294" s="106" t="s">
        <v>1938</v>
      </c>
      <c r="D1294" s="111" t="s">
        <v>1436</v>
      </c>
      <c r="E1294" s="95">
        <v>32393</v>
      </c>
      <c r="F1294" s="35">
        <v>0</v>
      </c>
    </row>
    <row r="1295" spans="1:6" s="4" customFormat="1" ht="12">
      <c r="A1295" s="106">
        <v>240314</v>
      </c>
      <c r="B1295" s="119" t="s">
        <v>1086</v>
      </c>
      <c r="C1295" s="103">
        <v>219023090</v>
      </c>
      <c r="D1295" s="111" t="s">
        <v>1939</v>
      </c>
      <c r="E1295" s="95">
        <v>35889</v>
      </c>
      <c r="F1295" s="35">
        <v>0</v>
      </c>
    </row>
    <row r="1296" spans="1:6" s="4" customFormat="1" ht="12">
      <c r="A1296" s="106">
        <v>240314</v>
      </c>
      <c r="B1296" s="119" t="s">
        <v>1086</v>
      </c>
      <c r="C1296" s="103" t="s">
        <v>418</v>
      </c>
      <c r="D1296" s="111" t="s">
        <v>1940</v>
      </c>
      <c r="E1296" s="95">
        <v>100642</v>
      </c>
      <c r="F1296" s="35">
        <v>0</v>
      </c>
    </row>
    <row r="1297" spans="1:6" s="4" customFormat="1" ht="12">
      <c r="A1297" s="106">
        <v>240314</v>
      </c>
      <c r="B1297" s="119" t="s">
        <v>1086</v>
      </c>
      <c r="C1297" s="103" t="s">
        <v>1941</v>
      </c>
      <c r="D1297" s="111" t="s">
        <v>1942</v>
      </c>
      <c r="E1297" s="95">
        <v>19265</v>
      </c>
      <c r="F1297" s="35">
        <v>0</v>
      </c>
    </row>
    <row r="1298" spans="1:6" s="4" customFormat="1" ht="12">
      <c r="A1298" s="106">
        <v>240314</v>
      </c>
      <c r="B1298" s="119" t="s">
        <v>1086</v>
      </c>
      <c r="C1298" s="103" t="s">
        <v>1943</v>
      </c>
      <c r="D1298" s="111" t="s">
        <v>1944</v>
      </c>
      <c r="E1298" s="95">
        <v>65869</v>
      </c>
      <c r="F1298" s="35">
        <v>0</v>
      </c>
    </row>
    <row r="1299" spans="1:6" s="4" customFormat="1" ht="12">
      <c r="A1299" s="106">
        <v>240314</v>
      </c>
      <c r="B1299" s="119" t="s">
        <v>1086</v>
      </c>
      <c r="C1299" s="103">
        <v>218923189</v>
      </c>
      <c r="D1299" s="111" t="s">
        <v>1945</v>
      </c>
      <c r="E1299" s="95">
        <v>77619</v>
      </c>
      <c r="F1299" s="35">
        <v>0</v>
      </c>
    </row>
    <row r="1300" spans="1:6" s="4" customFormat="1" ht="12">
      <c r="A1300" s="106">
        <v>240314</v>
      </c>
      <c r="B1300" s="119" t="s">
        <v>1086</v>
      </c>
      <c r="C1300" s="103" t="s">
        <v>1946</v>
      </c>
      <c r="D1300" s="111" t="s">
        <v>1947</v>
      </c>
      <c r="E1300" s="95">
        <v>25618</v>
      </c>
      <c r="F1300" s="35">
        <v>0</v>
      </c>
    </row>
    <row r="1301" spans="1:6" s="4" customFormat="1" ht="12">
      <c r="A1301" s="106">
        <v>240314</v>
      </c>
      <c r="B1301" s="119" t="s">
        <v>1086</v>
      </c>
      <c r="C1301" s="103" t="s">
        <v>3094</v>
      </c>
      <c r="D1301" s="111" t="s">
        <v>1948</v>
      </c>
      <c r="E1301" s="95">
        <v>20446</v>
      </c>
      <c r="F1301" s="35">
        <v>0</v>
      </c>
    </row>
    <row r="1302" spans="1:6" s="4" customFormat="1" ht="12">
      <c r="A1302" s="106">
        <v>240314</v>
      </c>
      <c r="B1302" s="119" t="s">
        <v>1086</v>
      </c>
      <c r="C1302" s="103" t="s">
        <v>1949</v>
      </c>
      <c r="D1302" s="111" t="s">
        <v>1950</v>
      </c>
      <c r="E1302" s="95">
        <v>31460</v>
      </c>
      <c r="F1302" s="35">
        <v>0</v>
      </c>
    </row>
    <row r="1303" spans="1:6" s="4" customFormat="1" ht="12">
      <c r="A1303" s="106">
        <v>240314</v>
      </c>
      <c r="B1303" s="119" t="s">
        <v>1086</v>
      </c>
      <c r="C1303" s="103" t="s">
        <v>1951</v>
      </c>
      <c r="D1303" s="111" t="s">
        <v>1952</v>
      </c>
      <c r="E1303" s="95">
        <v>24797</v>
      </c>
      <c r="F1303" s="35">
        <v>0</v>
      </c>
    </row>
    <row r="1304" spans="1:6" s="4" customFormat="1" ht="12">
      <c r="A1304" s="106">
        <v>240314</v>
      </c>
      <c r="B1304" s="119" t="s">
        <v>1086</v>
      </c>
      <c r="C1304" s="103" t="s">
        <v>1953</v>
      </c>
      <c r="D1304" s="111" t="s">
        <v>1954</v>
      </c>
      <c r="E1304" s="95">
        <v>102625</v>
      </c>
      <c r="F1304" s="35">
        <v>0</v>
      </c>
    </row>
    <row r="1305" spans="1:6" s="4" customFormat="1" ht="12">
      <c r="A1305" s="106">
        <v>240314</v>
      </c>
      <c r="B1305" s="119" t="s">
        <v>1086</v>
      </c>
      <c r="C1305" s="103" t="s">
        <v>1955</v>
      </c>
      <c r="D1305" s="111" t="s">
        <v>1956</v>
      </c>
      <c r="E1305" s="95">
        <v>56126</v>
      </c>
      <c r="F1305" s="35">
        <v>0</v>
      </c>
    </row>
    <row r="1306" spans="1:6" s="4" customFormat="1" ht="12">
      <c r="A1306" s="106">
        <v>240314</v>
      </c>
      <c r="B1306" s="119" t="s">
        <v>1086</v>
      </c>
      <c r="C1306" s="103" t="s">
        <v>634</v>
      </c>
      <c r="D1306" s="111" t="s">
        <v>1957</v>
      </c>
      <c r="E1306" s="95">
        <v>92871</v>
      </c>
      <c r="F1306" s="35">
        <v>0</v>
      </c>
    </row>
    <row r="1307" spans="1:6" s="4" customFormat="1" ht="12">
      <c r="A1307" s="106">
        <v>240314</v>
      </c>
      <c r="B1307" s="119" t="s">
        <v>1086</v>
      </c>
      <c r="C1307" s="103">
        <v>217023570</v>
      </c>
      <c r="D1307" s="111" t="s">
        <v>1958</v>
      </c>
      <c r="E1307" s="95">
        <v>49151</v>
      </c>
      <c r="F1307" s="35">
        <v>0</v>
      </c>
    </row>
    <row r="1308" spans="1:6" s="4" customFormat="1" ht="12">
      <c r="A1308" s="106">
        <v>240314</v>
      </c>
      <c r="B1308" s="119" t="s">
        <v>1086</v>
      </c>
      <c r="C1308" s="103">
        <v>217423574</v>
      </c>
      <c r="D1308" s="111" t="s">
        <v>1959</v>
      </c>
      <c r="E1308" s="95">
        <v>42079</v>
      </c>
      <c r="F1308" s="35">
        <v>0</v>
      </c>
    </row>
    <row r="1309" spans="1:6" s="4" customFormat="1" ht="12">
      <c r="A1309" s="106">
        <v>240314</v>
      </c>
      <c r="B1309" s="119" t="s">
        <v>1086</v>
      </c>
      <c r="C1309" s="103">
        <v>218023580</v>
      </c>
      <c r="D1309" s="111" t="s">
        <v>1960</v>
      </c>
      <c r="E1309" s="95">
        <v>58765</v>
      </c>
      <c r="F1309" s="35">
        <v>0</v>
      </c>
    </row>
    <row r="1310" spans="1:6" s="4" customFormat="1" ht="12">
      <c r="A1310" s="106">
        <v>240314</v>
      </c>
      <c r="B1310" s="119" t="s">
        <v>1086</v>
      </c>
      <c r="C1310" s="103">
        <v>218623586</v>
      </c>
      <c r="D1310" s="111" t="s">
        <v>1961</v>
      </c>
      <c r="E1310" s="95">
        <v>27524</v>
      </c>
      <c r="F1310" s="35">
        <v>0</v>
      </c>
    </row>
    <row r="1311" spans="1:6" s="4" customFormat="1" ht="12">
      <c r="A1311" s="106">
        <v>240314</v>
      </c>
      <c r="B1311" s="119" t="s">
        <v>1086</v>
      </c>
      <c r="C1311" s="103" t="s">
        <v>1962</v>
      </c>
      <c r="D1311" s="111" t="s">
        <v>1963</v>
      </c>
      <c r="E1311" s="95">
        <v>118416</v>
      </c>
      <c r="F1311" s="35">
        <v>0</v>
      </c>
    </row>
    <row r="1312" spans="1:6" s="4" customFormat="1" ht="12">
      <c r="A1312" s="106">
        <v>240314</v>
      </c>
      <c r="B1312" s="119" t="s">
        <v>1086</v>
      </c>
      <c r="C1312" s="103" t="s">
        <v>1964</v>
      </c>
      <c r="D1312" s="111" t="s">
        <v>1965</v>
      </c>
      <c r="E1312" s="95">
        <v>59785</v>
      </c>
      <c r="F1312" s="35">
        <v>0</v>
      </c>
    </row>
    <row r="1313" spans="1:6" s="4" customFormat="1" ht="12">
      <c r="A1313" s="106">
        <v>240314</v>
      </c>
      <c r="B1313" s="119" t="s">
        <v>1086</v>
      </c>
      <c r="C1313" s="103" t="s">
        <v>1966</v>
      </c>
      <c r="D1313" s="111" t="s">
        <v>1967</v>
      </c>
      <c r="E1313" s="95">
        <v>56409</v>
      </c>
      <c r="F1313" s="35">
        <v>0</v>
      </c>
    </row>
    <row r="1314" spans="1:6" s="4" customFormat="1" ht="12">
      <c r="A1314" s="106">
        <v>240314</v>
      </c>
      <c r="B1314" s="119" t="s">
        <v>1086</v>
      </c>
      <c r="C1314" s="103" t="s">
        <v>758</v>
      </c>
      <c r="D1314" s="111" t="s">
        <v>1282</v>
      </c>
      <c r="E1314" s="95">
        <v>41857</v>
      </c>
      <c r="F1314" s="35">
        <v>0</v>
      </c>
    </row>
    <row r="1315" spans="1:6" s="4" customFormat="1" ht="12">
      <c r="A1315" s="106">
        <v>240314</v>
      </c>
      <c r="B1315" s="119" t="s">
        <v>1086</v>
      </c>
      <c r="C1315" s="103" t="s">
        <v>800</v>
      </c>
      <c r="D1315" s="111" t="s">
        <v>1968</v>
      </c>
      <c r="E1315" s="95">
        <v>63774</v>
      </c>
      <c r="F1315" s="35">
        <v>0</v>
      </c>
    </row>
    <row r="1316" spans="1:6" s="4" customFormat="1" ht="12">
      <c r="A1316" s="106">
        <v>240314</v>
      </c>
      <c r="B1316" s="119" t="s">
        <v>1086</v>
      </c>
      <c r="C1316" s="103" t="s">
        <v>3339</v>
      </c>
      <c r="D1316" s="111" t="s">
        <v>1969</v>
      </c>
      <c r="E1316" s="95">
        <v>141897</v>
      </c>
      <c r="F1316" s="35">
        <v>0</v>
      </c>
    </row>
    <row r="1317" spans="1:6" s="4" customFormat="1" ht="12">
      <c r="A1317" s="106">
        <v>240314</v>
      </c>
      <c r="B1317" s="119" t="s">
        <v>1086</v>
      </c>
      <c r="C1317" s="103" t="s">
        <v>3393</v>
      </c>
      <c r="D1317" s="111" t="s">
        <v>1970</v>
      </c>
      <c r="E1317" s="95">
        <v>60649</v>
      </c>
      <c r="F1317" s="35">
        <v>0</v>
      </c>
    </row>
    <row r="1318" spans="1:6" s="4" customFormat="1" ht="12">
      <c r="A1318" s="106">
        <v>240314</v>
      </c>
      <c r="B1318" s="119" t="s">
        <v>1086</v>
      </c>
      <c r="C1318" s="103" t="s">
        <v>1971</v>
      </c>
      <c r="D1318" s="111" t="s">
        <v>1972</v>
      </c>
      <c r="E1318" s="95">
        <v>12132</v>
      </c>
      <c r="F1318" s="35">
        <v>0</v>
      </c>
    </row>
    <row r="1319" spans="1:6" s="4" customFormat="1" ht="12">
      <c r="A1319" s="106">
        <v>240314</v>
      </c>
      <c r="B1319" s="119" t="s">
        <v>1086</v>
      </c>
      <c r="C1319" s="103" t="s">
        <v>1973</v>
      </c>
      <c r="D1319" s="111" t="s">
        <v>1974</v>
      </c>
      <c r="E1319" s="95">
        <v>6982</v>
      </c>
      <c r="F1319" s="35">
        <v>0</v>
      </c>
    </row>
    <row r="1320" spans="1:6" s="4" customFormat="1" ht="12">
      <c r="A1320" s="106">
        <v>240314</v>
      </c>
      <c r="B1320" s="119" t="s">
        <v>1086</v>
      </c>
      <c r="C1320" s="103" t="s">
        <v>279</v>
      </c>
      <c r="D1320" s="111" t="s">
        <v>1975</v>
      </c>
      <c r="E1320" s="95">
        <v>11618</v>
      </c>
      <c r="F1320" s="35">
        <v>0</v>
      </c>
    </row>
    <row r="1321" spans="1:6" s="4" customFormat="1" ht="12">
      <c r="A1321" s="106">
        <v>240314</v>
      </c>
      <c r="B1321" s="119" t="s">
        <v>1086</v>
      </c>
      <c r="C1321" s="103" t="s">
        <v>285</v>
      </c>
      <c r="D1321" s="111" t="s">
        <v>1976</v>
      </c>
      <c r="E1321" s="95">
        <v>18979</v>
      </c>
      <c r="F1321" s="35">
        <v>0</v>
      </c>
    </row>
    <row r="1322" spans="1:6" s="4" customFormat="1" ht="12">
      <c r="A1322" s="106">
        <v>240314</v>
      </c>
      <c r="B1322" s="119" t="s">
        <v>1086</v>
      </c>
      <c r="C1322" s="103" t="s">
        <v>303</v>
      </c>
      <c r="D1322" s="111" t="s">
        <v>1977</v>
      </c>
      <c r="E1322" s="95">
        <v>14767</v>
      </c>
      <c r="F1322" s="35">
        <v>0</v>
      </c>
    </row>
    <row r="1323" spans="1:6" s="4" customFormat="1" ht="12">
      <c r="A1323" s="106">
        <v>240314</v>
      </c>
      <c r="B1323" s="119" t="s">
        <v>1086</v>
      </c>
      <c r="C1323" s="103" t="s">
        <v>340</v>
      </c>
      <c r="D1323" s="111" t="s">
        <v>1978</v>
      </c>
      <c r="E1323" s="95">
        <v>3250</v>
      </c>
      <c r="F1323" s="35">
        <v>0</v>
      </c>
    </row>
    <row r="1324" spans="1:6" s="4" customFormat="1" ht="12">
      <c r="A1324" s="106">
        <v>240314</v>
      </c>
      <c r="B1324" s="119" t="s">
        <v>1086</v>
      </c>
      <c r="C1324" s="103" t="s">
        <v>348</v>
      </c>
      <c r="D1324" s="111" t="s">
        <v>1979</v>
      </c>
      <c r="E1324" s="95">
        <v>3108</v>
      </c>
      <c r="F1324" s="35">
        <v>0</v>
      </c>
    </row>
    <row r="1325" spans="1:6" s="4" customFormat="1" ht="12">
      <c r="A1325" s="106">
        <v>240314</v>
      </c>
      <c r="B1325" s="119" t="s">
        <v>1086</v>
      </c>
      <c r="C1325" s="103" t="s">
        <v>353</v>
      </c>
      <c r="D1325" s="111" t="s">
        <v>1980</v>
      </c>
      <c r="E1325" s="95">
        <v>9112</v>
      </c>
      <c r="F1325" s="35">
        <v>0</v>
      </c>
    </row>
    <row r="1326" spans="1:6" s="4" customFormat="1" ht="12">
      <c r="A1326" s="106">
        <v>240314</v>
      </c>
      <c r="B1326" s="119" t="s">
        <v>1086</v>
      </c>
      <c r="C1326" s="103" t="s">
        <v>368</v>
      </c>
      <c r="D1326" s="111" t="s">
        <v>1981</v>
      </c>
      <c r="E1326" s="95">
        <v>6289</v>
      </c>
      <c r="F1326" s="35">
        <v>0</v>
      </c>
    </row>
    <row r="1327" spans="1:6" s="4" customFormat="1" ht="12">
      <c r="A1327" s="106">
        <v>240314</v>
      </c>
      <c r="B1327" s="119" t="s">
        <v>1086</v>
      </c>
      <c r="C1327" s="103" t="s">
        <v>1982</v>
      </c>
      <c r="D1327" s="111" t="s">
        <v>1983</v>
      </c>
      <c r="E1327" s="95">
        <v>8157</v>
      </c>
      <c r="F1327" s="35">
        <v>0</v>
      </c>
    </row>
    <row r="1328" spans="1:6" s="4" customFormat="1" ht="12">
      <c r="A1328" s="106">
        <v>240314</v>
      </c>
      <c r="B1328" s="119" t="s">
        <v>1086</v>
      </c>
      <c r="C1328" s="103" t="s">
        <v>378</v>
      </c>
      <c r="D1328" s="111" t="s">
        <v>1984</v>
      </c>
      <c r="E1328" s="95">
        <v>45692</v>
      </c>
      <c r="F1328" s="35">
        <v>0</v>
      </c>
    </row>
    <row r="1329" spans="1:6" s="4" customFormat="1" ht="12">
      <c r="A1329" s="106">
        <v>240314</v>
      </c>
      <c r="B1329" s="119" t="s">
        <v>1086</v>
      </c>
      <c r="C1329" s="103" t="s">
        <v>1985</v>
      </c>
      <c r="D1329" s="111" t="s">
        <v>1986</v>
      </c>
      <c r="E1329" s="95">
        <v>17446</v>
      </c>
      <c r="F1329" s="35">
        <v>0</v>
      </c>
    </row>
    <row r="1330" spans="1:6" s="4" customFormat="1" ht="12">
      <c r="A1330" s="106">
        <v>240314</v>
      </c>
      <c r="B1330" s="119" t="s">
        <v>1086</v>
      </c>
      <c r="C1330" s="103" t="s">
        <v>405</v>
      </c>
      <c r="D1330" s="111" t="s">
        <v>1987</v>
      </c>
      <c r="E1330" s="95">
        <v>19864</v>
      </c>
      <c r="F1330" s="35">
        <v>0</v>
      </c>
    </row>
    <row r="1331" spans="1:6" s="4" customFormat="1" ht="12">
      <c r="A1331" s="106">
        <v>240314</v>
      </c>
      <c r="B1331" s="119" t="s">
        <v>1086</v>
      </c>
      <c r="C1331" s="103" t="s">
        <v>411</v>
      </c>
      <c r="D1331" s="111" t="s">
        <v>1988</v>
      </c>
      <c r="E1331" s="95">
        <v>7881</v>
      </c>
      <c r="F1331" s="35">
        <v>0</v>
      </c>
    </row>
    <row r="1332" spans="1:6" s="4" customFormat="1" ht="12">
      <c r="A1332" s="106">
        <v>240314</v>
      </c>
      <c r="B1332" s="119" t="s">
        <v>1086</v>
      </c>
      <c r="C1332" s="103" t="s">
        <v>423</v>
      </c>
      <c r="D1332" s="111" t="s">
        <v>1989</v>
      </c>
      <c r="E1332" s="95">
        <v>4531</v>
      </c>
      <c r="F1332" s="35">
        <v>0</v>
      </c>
    </row>
    <row r="1333" spans="1:6" s="4" customFormat="1" ht="12">
      <c r="A1333" s="106">
        <v>240314</v>
      </c>
      <c r="B1333" s="119" t="s">
        <v>1086</v>
      </c>
      <c r="C1333" s="103" t="s">
        <v>431</v>
      </c>
      <c r="D1333" s="111" t="s">
        <v>1990</v>
      </c>
      <c r="E1333" s="95">
        <v>75234</v>
      </c>
      <c r="F1333" s="35">
        <v>0</v>
      </c>
    </row>
    <row r="1334" spans="1:6" s="4" customFormat="1" ht="12">
      <c r="A1334" s="106">
        <v>240314</v>
      </c>
      <c r="B1334" s="119" t="s">
        <v>1086</v>
      </c>
      <c r="C1334" s="103" t="s">
        <v>441</v>
      </c>
      <c r="D1334" s="111" t="s">
        <v>1991</v>
      </c>
      <c r="E1334" s="95">
        <v>9639</v>
      </c>
      <c r="F1334" s="35">
        <v>0</v>
      </c>
    </row>
    <row r="1335" spans="1:6" s="4" customFormat="1" ht="12">
      <c r="A1335" s="106">
        <v>240314</v>
      </c>
      <c r="B1335" s="119" t="s">
        <v>1086</v>
      </c>
      <c r="C1335" s="103" t="s">
        <v>458</v>
      </c>
      <c r="D1335" s="111" t="s">
        <v>1992</v>
      </c>
      <c r="E1335" s="95">
        <v>13964</v>
      </c>
      <c r="F1335" s="35">
        <v>0</v>
      </c>
    </row>
    <row r="1336" spans="1:6" s="4" customFormat="1" ht="12">
      <c r="A1336" s="106">
        <v>240314</v>
      </c>
      <c r="B1336" s="119" t="s">
        <v>1086</v>
      </c>
      <c r="C1336" s="103" t="s">
        <v>460</v>
      </c>
      <c r="D1336" s="111" t="s">
        <v>1993</v>
      </c>
      <c r="E1336" s="95">
        <v>23394</v>
      </c>
      <c r="F1336" s="35">
        <v>0</v>
      </c>
    </row>
    <row r="1337" spans="1:6" s="4" customFormat="1" ht="12">
      <c r="A1337" s="106">
        <v>240314</v>
      </c>
      <c r="B1337" s="119" t="s">
        <v>1086</v>
      </c>
      <c r="C1337" s="103" t="s">
        <v>470</v>
      </c>
      <c r="D1337" s="111" t="s">
        <v>1994</v>
      </c>
      <c r="E1337" s="95">
        <v>18165</v>
      </c>
      <c r="F1337" s="35">
        <v>0</v>
      </c>
    </row>
    <row r="1338" spans="1:6" s="4" customFormat="1" ht="12">
      <c r="A1338" s="106">
        <v>240314</v>
      </c>
      <c r="B1338" s="119" t="s">
        <v>1086</v>
      </c>
      <c r="C1338" s="103" t="s">
        <v>494</v>
      </c>
      <c r="D1338" s="111" t="s">
        <v>1995</v>
      </c>
      <c r="E1338" s="95">
        <v>16487</v>
      </c>
      <c r="F1338" s="35">
        <v>0</v>
      </c>
    </row>
    <row r="1339" spans="1:6" s="4" customFormat="1" ht="12">
      <c r="A1339" s="106">
        <v>240314</v>
      </c>
      <c r="B1339" s="119" t="s">
        <v>1086</v>
      </c>
      <c r="C1339" s="103" t="s">
        <v>505</v>
      </c>
      <c r="D1339" s="111" t="s">
        <v>1996</v>
      </c>
      <c r="E1339" s="95">
        <v>8217</v>
      </c>
      <c r="F1339" s="35">
        <v>0</v>
      </c>
    </row>
    <row r="1340" spans="1:6" s="4" customFormat="1" ht="12">
      <c r="A1340" s="106">
        <v>240314</v>
      </c>
      <c r="B1340" s="119" t="s">
        <v>1086</v>
      </c>
      <c r="C1340" s="103" t="s">
        <v>537</v>
      </c>
      <c r="D1340" s="111" t="s">
        <v>1997</v>
      </c>
      <c r="E1340" s="95">
        <v>26842</v>
      </c>
      <c r="F1340" s="35">
        <v>0</v>
      </c>
    </row>
    <row r="1341" spans="1:6" s="4" customFormat="1" ht="12">
      <c r="A1341" s="106">
        <v>240314</v>
      </c>
      <c r="B1341" s="119" t="s">
        <v>1086</v>
      </c>
      <c r="C1341" s="103">
        <v>215825258</v>
      </c>
      <c r="D1341" s="111" t="s">
        <v>1383</v>
      </c>
      <c r="E1341" s="95">
        <v>7046</v>
      </c>
      <c r="F1341" s="35">
        <v>0</v>
      </c>
    </row>
    <row r="1342" spans="1:6" s="4" customFormat="1" ht="12">
      <c r="A1342" s="106">
        <v>240314</v>
      </c>
      <c r="B1342" s="119" t="s">
        <v>1086</v>
      </c>
      <c r="C1342" s="103" t="s">
        <v>2941</v>
      </c>
      <c r="D1342" s="111" t="s">
        <v>1998</v>
      </c>
      <c r="E1342" s="95">
        <v>12498</v>
      </c>
      <c r="F1342" s="35">
        <v>0</v>
      </c>
    </row>
    <row r="1343" spans="1:6" s="4" customFormat="1" ht="12">
      <c r="A1343" s="106">
        <v>240314</v>
      </c>
      <c r="B1343" s="119" t="s">
        <v>1086</v>
      </c>
      <c r="C1343" s="103" t="s">
        <v>2958</v>
      </c>
      <c r="D1343" s="111" t="s">
        <v>1999</v>
      </c>
      <c r="E1343" s="95">
        <v>107374</v>
      </c>
      <c r="F1343" s="35">
        <v>0</v>
      </c>
    </row>
    <row r="1344" spans="1:6" s="4" customFormat="1" ht="12">
      <c r="A1344" s="106">
        <v>240314</v>
      </c>
      <c r="B1344" s="119" t="s">
        <v>1086</v>
      </c>
      <c r="C1344" s="103" t="s">
        <v>2972</v>
      </c>
      <c r="D1344" s="111" t="s">
        <v>2000</v>
      </c>
      <c r="E1344" s="95">
        <v>12409</v>
      </c>
      <c r="F1344" s="35">
        <v>0</v>
      </c>
    </row>
    <row r="1345" spans="1:6" s="4" customFormat="1" ht="12">
      <c r="A1345" s="106">
        <v>240314</v>
      </c>
      <c r="B1345" s="119" t="s">
        <v>1086</v>
      </c>
      <c r="C1345" s="103">
        <v>218125281</v>
      </c>
      <c r="D1345" s="111" t="s">
        <v>2001</v>
      </c>
      <c r="E1345" s="95">
        <v>7311</v>
      </c>
      <c r="F1345" s="35">
        <v>0</v>
      </c>
    </row>
    <row r="1346" spans="1:6" s="4" customFormat="1" ht="12">
      <c r="A1346" s="106">
        <v>240314</v>
      </c>
      <c r="B1346" s="119" t="s">
        <v>1086</v>
      </c>
      <c r="C1346" s="103" t="s">
        <v>2983</v>
      </c>
      <c r="D1346" s="111" t="s">
        <v>2002</v>
      </c>
      <c r="E1346" s="95">
        <v>47236</v>
      </c>
      <c r="F1346" s="35">
        <v>0</v>
      </c>
    </row>
    <row r="1347" spans="1:6" s="4" customFormat="1" ht="12">
      <c r="A1347" s="106">
        <v>240314</v>
      </c>
      <c r="B1347" s="119" t="s">
        <v>1086</v>
      </c>
      <c r="C1347" s="103" t="s">
        <v>2985</v>
      </c>
      <c r="D1347" s="111" t="s">
        <v>2003</v>
      </c>
      <c r="E1347" s="95">
        <v>7485</v>
      </c>
      <c r="F1347" s="35">
        <v>0</v>
      </c>
    </row>
    <row r="1348" spans="1:6" s="4" customFormat="1" ht="12">
      <c r="A1348" s="106">
        <v>240314</v>
      </c>
      <c r="B1348" s="119" t="s">
        <v>1086</v>
      </c>
      <c r="C1348" s="103" t="s">
        <v>2989</v>
      </c>
      <c r="D1348" s="111" t="s">
        <v>2004</v>
      </c>
      <c r="E1348" s="95">
        <v>7597</v>
      </c>
      <c r="F1348" s="35">
        <v>0</v>
      </c>
    </row>
    <row r="1349" spans="1:6" s="4" customFormat="1" ht="12">
      <c r="A1349" s="106">
        <v>240314</v>
      </c>
      <c r="B1349" s="119" t="s">
        <v>1086</v>
      </c>
      <c r="C1349" s="103">
        <v>219525295</v>
      </c>
      <c r="D1349" s="111" t="s">
        <v>2005</v>
      </c>
      <c r="E1349" s="95">
        <v>11387</v>
      </c>
      <c r="F1349" s="35">
        <v>0</v>
      </c>
    </row>
    <row r="1350" spans="1:6" s="4" customFormat="1" ht="12">
      <c r="A1350" s="106">
        <v>240314</v>
      </c>
      <c r="B1350" s="119" t="s">
        <v>1086</v>
      </c>
      <c r="C1350" s="103" t="s">
        <v>2994</v>
      </c>
      <c r="D1350" s="111" t="s">
        <v>2006</v>
      </c>
      <c r="E1350" s="95">
        <v>13561</v>
      </c>
      <c r="F1350" s="35">
        <v>0</v>
      </c>
    </row>
    <row r="1351" spans="1:6" s="4" customFormat="1" ht="12">
      <c r="A1351" s="106">
        <v>240314</v>
      </c>
      <c r="B1351" s="119" t="s">
        <v>1086</v>
      </c>
      <c r="C1351" s="103" t="s">
        <v>2998</v>
      </c>
      <c r="D1351" s="111" t="s">
        <v>2007</v>
      </c>
      <c r="E1351" s="95">
        <v>3854</v>
      </c>
      <c r="F1351" s="35">
        <v>0</v>
      </c>
    </row>
    <row r="1352" spans="1:6" s="4" customFormat="1" ht="12">
      <c r="A1352" s="106">
        <v>240314</v>
      </c>
      <c r="B1352" s="119" t="s">
        <v>1086</v>
      </c>
      <c r="C1352" s="103" t="s">
        <v>2008</v>
      </c>
      <c r="D1352" s="111" t="s">
        <v>1234</v>
      </c>
      <c r="E1352" s="95">
        <v>7926</v>
      </c>
      <c r="F1352" s="35">
        <v>0</v>
      </c>
    </row>
    <row r="1353" spans="1:6" s="4" customFormat="1" ht="12">
      <c r="A1353" s="106">
        <v>240314</v>
      </c>
      <c r="B1353" s="119" t="s">
        <v>1086</v>
      </c>
      <c r="C1353" s="103" t="s">
        <v>3027</v>
      </c>
      <c r="D1353" s="111" t="s">
        <v>2009</v>
      </c>
      <c r="E1353" s="95">
        <v>14509</v>
      </c>
      <c r="F1353" s="35">
        <v>0</v>
      </c>
    </row>
    <row r="1354" spans="1:6" s="4" customFormat="1" ht="12">
      <c r="A1354" s="106">
        <v>240314</v>
      </c>
      <c r="B1354" s="119" t="s">
        <v>1086</v>
      </c>
      <c r="C1354" s="103" t="s">
        <v>3036</v>
      </c>
      <c r="D1354" s="111" t="s">
        <v>2010</v>
      </c>
      <c r="E1354" s="95">
        <v>28966</v>
      </c>
      <c r="F1354" s="35">
        <v>0</v>
      </c>
    </row>
    <row r="1355" spans="1:6" s="4" customFormat="1" ht="12">
      <c r="A1355" s="106">
        <v>240314</v>
      </c>
      <c r="B1355" s="119" t="s">
        <v>1086</v>
      </c>
      <c r="C1355" s="103" t="s">
        <v>2011</v>
      </c>
      <c r="D1355" s="111" t="s">
        <v>2012</v>
      </c>
      <c r="E1355" s="95">
        <v>19493</v>
      </c>
      <c r="F1355" s="35">
        <v>0</v>
      </c>
    </row>
    <row r="1356" spans="1:6" s="4" customFormat="1" ht="12">
      <c r="A1356" s="106">
        <v>240314</v>
      </c>
      <c r="B1356" s="119" t="s">
        <v>1086</v>
      </c>
      <c r="C1356" s="103" t="s">
        <v>2013</v>
      </c>
      <c r="D1356" s="111" t="s">
        <v>2014</v>
      </c>
      <c r="E1356" s="95">
        <v>4132</v>
      </c>
      <c r="F1356" s="35">
        <v>0</v>
      </c>
    </row>
    <row r="1357" spans="1:6" s="4" customFormat="1" ht="12">
      <c r="A1357" s="106">
        <v>240314</v>
      </c>
      <c r="B1357" s="119" t="s">
        <v>1086</v>
      </c>
      <c r="C1357" s="103" t="s">
        <v>3046</v>
      </c>
      <c r="D1357" s="111" t="s">
        <v>2015</v>
      </c>
      <c r="E1357" s="95">
        <v>6299</v>
      </c>
      <c r="F1357" s="35">
        <v>0</v>
      </c>
    </row>
    <row r="1358" spans="1:6" s="4" customFormat="1" ht="12">
      <c r="A1358" s="106">
        <v>240314</v>
      </c>
      <c r="B1358" s="119" t="s">
        <v>1086</v>
      </c>
      <c r="C1358" s="103">
        <v>212825328</v>
      </c>
      <c r="D1358" s="111" t="s">
        <v>2016</v>
      </c>
      <c r="E1358" s="95">
        <v>4758</v>
      </c>
      <c r="F1358" s="35">
        <v>0</v>
      </c>
    </row>
    <row r="1359" spans="1:6" s="4" customFormat="1" ht="12">
      <c r="A1359" s="106">
        <v>240314</v>
      </c>
      <c r="B1359" s="119" t="s">
        <v>1086</v>
      </c>
      <c r="C1359" s="103" t="s">
        <v>3054</v>
      </c>
      <c r="D1359" s="111" t="s">
        <v>2017</v>
      </c>
      <c r="E1359" s="95">
        <v>6640</v>
      </c>
      <c r="F1359" s="35">
        <v>0</v>
      </c>
    </row>
    <row r="1360" spans="1:6" s="4" customFormat="1" ht="12">
      <c r="A1360" s="106">
        <v>240314</v>
      </c>
      <c r="B1360" s="119" t="s">
        <v>1086</v>
      </c>
      <c r="C1360" s="106" t="s">
        <v>2018</v>
      </c>
      <c r="D1360" s="111" t="s">
        <v>2019</v>
      </c>
      <c r="E1360" s="95">
        <v>5375</v>
      </c>
      <c r="F1360" s="35">
        <v>0</v>
      </c>
    </row>
    <row r="1361" spans="1:6" s="4" customFormat="1" ht="12">
      <c r="A1361" s="106">
        <v>240314</v>
      </c>
      <c r="B1361" s="119" t="s">
        <v>1086</v>
      </c>
      <c r="C1361" s="103" t="s">
        <v>3084</v>
      </c>
      <c r="D1361" s="111" t="s">
        <v>2020</v>
      </c>
      <c r="E1361" s="95">
        <v>3773</v>
      </c>
      <c r="F1361" s="35">
        <v>0</v>
      </c>
    </row>
    <row r="1362" spans="1:6" s="4" customFormat="1" ht="12">
      <c r="A1362" s="106">
        <v>240314</v>
      </c>
      <c r="B1362" s="119" t="s">
        <v>1086</v>
      </c>
      <c r="C1362" s="106" t="s">
        <v>3092</v>
      </c>
      <c r="D1362" s="111" t="s">
        <v>2021</v>
      </c>
      <c r="E1362" s="95">
        <v>10031</v>
      </c>
      <c r="F1362" s="35">
        <v>0</v>
      </c>
    </row>
    <row r="1363" spans="1:6" s="4" customFormat="1" ht="12">
      <c r="A1363" s="106">
        <v>240314</v>
      </c>
      <c r="B1363" s="119" t="s">
        <v>1086</v>
      </c>
      <c r="C1363" s="106" t="s">
        <v>3100</v>
      </c>
      <c r="D1363" s="111" t="s">
        <v>2022</v>
      </c>
      <c r="E1363" s="95">
        <v>19495</v>
      </c>
      <c r="F1363" s="35">
        <v>0</v>
      </c>
    </row>
    <row r="1364" spans="1:6" s="4" customFormat="1" ht="12">
      <c r="A1364" s="106">
        <v>240314</v>
      </c>
      <c r="B1364" s="119" t="s">
        <v>1086</v>
      </c>
      <c r="C1364" s="106" t="s">
        <v>3111</v>
      </c>
      <c r="D1364" s="111" t="s">
        <v>2023</v>
      </c>
      <c r="E1364" s="95">
        <v>29322</v>
      </c>
      <c r="F1364" s="35">
        <v>0</v>
      </c>
    </row>
    <row r="1365" spans="1:6" s="4" customFormat="1" ht="12">
      <c r="A1365" s="106">
        <v>240314</v>
      </c>
      <c r="B1365" s="119" t="s">
        <v>1086</v>
      </c>
      <c r="C1365" s="106" t="s">
        <v>3113</v>
      </c>
      <c r="D1365" s="111" t="s">
        <v>2024</v>
      </c>
      <c r="E1365" s="95">
        <v>12426</v>
      </c>
      <c r="F1365" s="35">
        <v>0</v>
      </c>
    </row>
    <row r="1366" spans="1:6" s="4" customFormat="1" ht="12">
      <c r="A1366" s="106">
        <v>240314</v>
      </c>
      <c r="B1366" s="119" t="s">
        <v>1086</v>
      </c>
      <c r="C1366" s="106" t="s">
        <v>3117</v>
      </c>
      <c r="D1366" s="111" t="s">
        <v>2025</v>
      </c>
      <c r="E1366" s="95">
        <v>8007</v>
      </c>
      <c r="F1366" s="35">
        <v>0</v>
      </c>
    </row>
    <row r="1367" spans="1:6" s="4" customFormat="1" ht="12">
      <c r="A1367" s="106">
        <v>240314</v>
      </c>
      <c r="B1367" s="119" t="s">
        <v>1086</v>
      </c>
      <c r="C1367" s="106" t="s">
        <v>2026</v>
      </c>
      <c r="D1367" s="111" t="s">
        <v>1873</v>
      </c>
      <c r="E1367" s="95">
        <v>18449</v>
      </c>
      <c r="F1367" s="35">
        <v>0</v>
      </c>
    </row>
    <row r="1368" spans="1:6" s="4" customFormat="1" ht="12">
      <c r="A1368" s="106">
        <v>240314</v>
      </c>
      <c r="B1368" s="119" t="s">
        <v>1086</v>
      </c>
      <c r="C1368" s="106" t="s">
        <v>3144</v>
      </c>
      <c r="D1368" s="111" t="s">
        <v>2027</v>
      </c>
      <c r="E1368" s="95">
        <v>10463</v>
      </c>
      <c r="F1368" s="35">
        <v>0</v>
      </c>
    </row>
    <row r="1369" spans="1:6" s="4" customFormat="1" ht="12">
      <c r="A1369" s="106">
        <v>240314</v>
      </c>
      <c r="B1369" s="119" t="s">
        <v>1086</v>
      </c>
      <c r="C1369" s="106" t="s">
        <v>2028</v>
      </c>
      <c r="D1369" s="111" t="s">
        <v>2029</v>
      </c>
      <c r="E1369" s="95">
        <v>8443</v>
      </c>
      <c r="F1369" s="35">
        <v>0</v>
      </c>
    </row>
    <row r="1370" spans="1:6" s="4" customFormat="1" ht="12">
      <c r="A1370" s="106">
        <v>240314</v>
      </c>
      <c r="B1370" s="119" t="s">
        <v>1086</v>
      </c>
      <c r="C1370" s="106" t="s">
        <v>3159</v>
      </c>
      <c r="D1370" s="111" t="s">
        <v>2030</v>
      </c>
      <c r="E1370" s="95">
        <v>53801</v>
      </c>
      <c r="F1370" s="35">
        <v>0</v>
      </c>
    </row>
    <row r="1371" spans="1:6" s="4" customFormat="1" ht="12">
      <c r="A1371" s="106">
        <v>240314</v>
      </c>
      <c r="B1371" s="119" t="s">
        <v>1086</v>
      </c>
      <c r="C1371" s="106" t="s">
        <v>3172</v>
      </c>
      <c r="D1371" s="111" t="s">
        <v>2031</v>
      </c>
      <c r="E1371" s="95">
        <v>4895</v>
      </c>
      <c r="F1371" s="35">
        <v>0</v>
      </c>
    </row>
    <row r="1372" spans="1:6" s="4" customFormat="1" ht="12">
      <c r="A1372" s="106">
        <v>240314</v>
      </c>
      <c r="B1372" s="119" t="s">
        <v>1086</v>
      </c>
      <c r="C1372" s="106" t="s">
        <v>3188</v>
      </c>
      <c r="D1372" s="111" t="s">
        <v>2032</v>
      </c>
      <c r="E1372" s="95">
        <v>11746</v>
      </c>
      <c r="F1372" s="35">
        <v>0</v>
      </c>
    </row>
    <row r="1373" spans="1:6" s="4" customFormat="1" ht="12">
      <c r="A1373" s="106">
        <v>240314</v>
      </c>
      <c r="B1373" s="119" t="s">
        <v>1086</v>
      </c>
      <c r="C1373" s="106" t="s">
        <v>2033</v>
      </c>
      <c r="D1373" s="111" t="s">
        <v>2034</v>
      </c>
      <c r="E1373" s="95">
        <v>53026</v>
      </c>
      <c r="F1373" s="35">
        <v>0</v>
      </c>
    </row>
    <row r="1374" spans="1:6" s="4" customFormat="1" ht="12">
      <c r="A1374" s="106">
        <v>240314</v>
      </c>
      <c r="B1374" s="119" t="s">
        <v>1086</v>
      </c>
      <c r="C1374" s="106">
        <v>218325483</v>
      </c>
      <c r="D1374" s="111" t="s">
        <v>1102</v>
      </c>
      <c r="E1374" s="95">
        <v>3233</v>
      </c>
      <c r="F1374" s="35">
        <v>0</v>
      </c>
    </row>
    <row r="1375" spans="1:6" s="4" customFormat="1" ht="12">
      <c r="A1375" s="106">
        <v>240314</v>
      </c>
      <c r="B1375" s="119" t="s">
        <v>1086</v>
      </c>
      <c r="C1375" s="106" t="s">
        <v>539</v>
      </c>
      <c r="D1375" s="111" t="s">
        <v>2035</v>
      </c>
      <c r="E1375" s="95">
        <v>14304</v>
      </c>
      <c r="F1375" s="35">
        <v>0</v>
      </c>
    </row>
    <row r="1376" spans="1:6" s="4" customFormat="1" ht="12">
      <c r="A1376" s="106">
        <v>240314</v>
      </c>
      <c r="B1376" s="119" t="s">
        <v>1086</v>
      </c>
      <c r="C1376" s="106" t="s">
        <v>541</v>
      </c>
      <c r="D1376" s="111" t="s">
        <v>2036</v>
      </c>
      <c r="E1376" s="95">
        <v>7225</v>
      </c>
      <c r="F1376" s="35">
        <v>0</v>
      </c>
    </row>
    <row r="1377" spans="1:6" s="4" customFormat="1" ht="12">
      <c r="A1377" s="106">
        <v>240314</v>
      </c>
      <c r="B1377" s="119" t="s">
        <v>1086</v>
      </c>
      <c r="C1377" s="106" t="s">
        <v>543</v>
      </c>
      <c r="D1377" s="111" t="s">
        <v>2037</v>
      </c>
      <c r="E1377" s="95">
        <v>4567</v>
      </c>
      <c r="F1377" s="35">
        <v>0</v>
      </c>
    </row>
    <row r="1378" spans="1:6" s="4" customFormat="1" ht="12">
      <c r="A1378" s="106">
        <v>240314</v>
      </c>
      <c r="B1378" s="119" t="s">
        <v>1086</v>
      </c>
      <c r="C1378" s="106" t="s">
        <v>547</v>
      </c>
      <c r="D1378" s="111" t="s">
        <v>2038</v>
      </c>
      <c r="E1378" s="95">
        <v>7529</v>
      </c>
      <c r="F1378" s="35">
        <v>0</v>
      </c>
    </row>
    <row r="1379" spans="1:6" s="4" customFormat="1" ht="12">
      <c r="A1379" s="106">
        <v>240314</v>
      </c>
      <c r="B1379" s="119" t="s">
        <v>1086</v>
      </c>
      <c r="C1379" s="106">
        <v>210625506</v>
      </c>
      <c r="D1379" s="111" t="s">
        <v>2039</v>
      </c>
      <c r="E1379" s="95">
        <v>5034</v>
      </c>
      <c r="F1379" s="35">
        <v>0</v>
      </c>
    </row>
    <row r="1380" spans="1:6" s="4" customFormat="1" ht="12">
      <c r="A1380" s="106">
        <v>240314</v>
      </c>
      <c r="B1380" s="119" t="s">
        <v>1086</v>
      </c>
      <c r="C1380" s="106" t="s">
        <v>573</v>
      </c>
      <c r="D1380" s="111" t="s">
        <v>2040</v>
      </c>
      <c r="E1380" s="95">
        <v>32869</v>
      </c>
      <c r="F1380" s="35">
        <v>0</v>
      </c>
    </row>
    <row r="1381" spans="1:6" s="4" customFormat="1" ht="12">
      <c r="A1381" s="106">
        <v>240314</v>
      </c>
      <c r="B1381" s="119" t="s">
        <v>1086</v>
      </c>
      <c r="C1381" s="106" t="s">
        <v>2041</v>
      </c>
      <c r="D1381" s="111" t="s">
        <v>2042</v>
      </c>
      <c r="E1381" s="95">
        <v>7812</v>
      </c>
      <c r="F1381" s="35">
        <v>0</v>
      </c>
    </row>
    <row r="1382" spans="1:6" s="4" customFormat="1" ht="12">
      <c r="A1382" s="106">
        <v>240314</v>
      </c>
      <c r="B1382" s="119" t="s">
        <v>1086</v>
      </c>
      <c r="C1382" s="106" t="s">
        <v>594</v>
      </c>
      <c r="D1382" s="111" t="s">
        <v>2043</v>
      </c>
      <c r="E1382" s="95">
        <v>6733</v>
      </c>
      <c r="F1382" s="35">
        <v>0</v>
      </c>
    </row>
    <row r="1383" spans="1:6" s="4" customFormat="1" ht="12">
      <c r="A1383" s="106">
        <v>240314</v>
      </c>
      <c r="B1383" s="119" t="s">
        <v>1086</v>
      </c>
      <c r="C1383" s="106" t="s">
        <v>599</v>
      </c>
      <c r="D1383" s="111" t="s">
        <v>2044</v>
      </c>
      <c r="E1383" s="95">
        <v>8426</v>
      </c>
      <c r="F1383" s="35">
        <v>0</v>
      </c>
    </row>
    <row r="1384" spans="1:6" s="4" customFormat="1" ht="12">
      <c r="A1384" s="106">
        <v>240314</v>
      </c>
      <c r="B1384" s="119" t="s">
        <v>1086</v>
      </c>
      <c r="C1384" s="106" t="s">
        <v>601</v>
      </c>
      <c r="D1384" s="111" t="s">
        <v>2045</v>
      </c>
      <c r="E1384" s="95">
        <v>16127</v>
      </c>
      <c r="F1384" s="35">
        <v>0</v>
      </c>
    </row>
    <row r="1385" spans="1:6" s="4" customFormat="1" ht="12">
      <c r="A1385" s="106">
        <v>240314</v>
      </c>
      <c r="B1385" s="119" t="s">
        <v>1086</v>
      </c>
      <c r="C1385" s="106" t="s">
        <v>664</v>
      </c>
      <c r="D1385" s="111" t="s">
        <v>2046</v>
      </c>
      <c r="E1385" s="95">
        <v>19025</v>
      </c>
      <c r="F1385" s="35">
        <v>0</v>
      </c>
    </row>
    <row r="1386" spans="1:6" s="4" customFormat="1" ht="12">
      <c r="A1386" s="106">
        <v>240314</v>
      </c>
      <c r="B1386" s="119" t="s">
        <v>1086</v>
      </c>
      <c r="C1386" s="106" t="s">
        <v>670</v>
      </c>
      <c r="D1386" s="111" t="s">
        <v>2047</v>
      </c>
      <c r="E1386" s="95">
        <v>3999</v>
      </c>
      <c r="F1386" s="35">
        <v>0</v>
      </c>
    </row>
    <row r="1387" spans="1:6" s="4" customFormat="1" ht="12">
      <c r="A1387" s="106">
        <v>240314</v>
      </c>
      <c r="B1387" s="119" t="s">
        <v>1086</v>
      </c>
      <c r="C1387" s="106" t="s">
        <v>675</v>
      </c>
      <c r="D1387" s="111" t="s">
        <v>2048</v>
      </c>
      <c r="E1387" s="95">
        <v>5161</v>
      </c>
      <c r="F1387" s="35">
        <v>0</v>
      </c>
    </row>
    <row r="1388" spans="1:6" s="4" customFormat="1" ht="12">
      <c r="A1388" s="106">
        <v>240314</v>
      </c>
      <c r="B1388" s="119" t="s">
        <v>1086</v>
      </c>
      <c r="C1388" s="106" t="s">
        <v>677</v>
      </c>
      <c r="D1388" s="111" t="s">
        <v>2049</v>
      </c>
      <c r="E1388" s="95">
        <v>6593</v>
      </c>
      <c r="F1388" s="35">
        <v>0</v>
      </c>
    </row>
    <row r="1389" spans="1:6" s="4" customFormat="1" ht="12">
      <c r="A1389" s="106">
        <v>240314</v>
      </c>
      <c r="B1389" s="119" t="s">
        <v>1086</v>
      </c>
      <c r="C1389" s="106">
        <v>219625596</v>
      </c>
      <c r="D1389" s="111" t="s">
        <v>2050</v>
      </c>
      <c r="E1389" s="95">
        <v>11258</v>
      </c>
      <c r="F1389" s="35">
        <v>0</v>
      </c>
    </row>
    <row r="1390" spans="1:6" s="4" customFormat="1" ht="12">
      <c r="A1390" s="106">
        <v>240314</v>
      </c>
      <c r="B1390" s="119" t="s">
        <v>1086</v>
      </c>
      <c r="C1390" s="103" t="s">
        <v>2051</v>
      </c>
      <c r="D1390" s="111" t="s">
        <v>2052</v>
      </c>
      <c r="E1390" s="95">
        <v>8744</v>
      </c>
      <c r="F1390" s="35">
        <v>0</v>
      </c>
    </row>
    <row r="1391" spans="1:6" s="4" customFormat="1" ht="12">
      <c r="A1391" s="106">
        <v>240314</v>
      </c>
      <c r="B1391" s="119" t="s">
        <v>1086</v>
      </c>
      <c r="C1391" s="106" t="s">
        <v>2053</v>
      </c>
      <c r="D1391" s="111" t="s">
        <v>2054</v>
      </c>
      <c r="E1391" s="95">
        <v>9125</v>
      </c>
      <c r="F1391" s="35">
        <v>0</v>
      </c>
    </row>
    <row r="1392" spans="1:6" s="4" customFormat="1" ht="12">
      <c r="A1392" s="106">
        <v>240314</v>
      </c>
      <c r="B1392" s="119" t="s">
        <v>1086</v>
      </c>
      <c r="C1392" s="106" t="s">
        <v>2055</v>
      </c>
      <c r="D1392" s="111" t="s">
        <v>2056</v>
      </c>
      <c r="E1392" s="95">
        <v>14066</v>
      </c>
      <c r="F1392" s="35">
        <v>0</v>
      </c>
    </row>
    <row r="1393" spans="1:6" s="4" customFormat="1" ht="12">
      <c r="A1393" s="106">
        <v>240314</v>
      </c>
      <c r="B1393" s="119" t="s">
        <v>1086</v>
      </c>
      <c r="C1393" s="106" t="s">
        <v>2057</v>
      </c>
      <c r="D1393" s="111" t="s">
        <v>2058</v>
      </c>
      <c r="E1393" s="95">
        <v>13445</v>
      </c>
      <c r="F1393" s="35">
        <v>0</v>
      </c>
    </row>
    <row r="1394" spans="1:6" s="4" customFormat="1" ht="12">
      <c r="A1394" s="106">
        <v>240314</v>
      </c>
      <c r="B1394" s="119" t="s">
        <v>1086</v>
      </c>
      <c r="C1394" s="106" t="s">
        <v>2059</v>
      </c>
      <c r="D1394" s="111" t="s">
        <v>2060</v>
      </c>
      <c r="E1394" s="95">
        <v>6362</v>
      </c>
      <c r="F1394" s="35">
        <v>0</v>
      </c>
    </row>
    <row r="1395" spans="1:6" s="4" customFormat="1" ht="12">
      <c r="A1395" s="106">
        <v>240314</v>
      </c>
      <c r="B1395" s="119" t="s">
        <v>1086</v>
      </c>
      <c r="C1395" s="106" t="s">
        <v>2061</v>
      </c>
      <c r="D1395" s="111" t="s">
        <v>1284</v>
      </c>
      <c r="E1395" s="95">
        <v>9280</v>
      </c>
      <c r="F1395" s="35">
        <v>0</v>
      </c>
    </row>
    <row r="1396" spans="1:6" s="4" customFormat="1" ht="12">
      <c r="A1396" s="106">
        <v>240314</v>
      </c>
      <c r="B1396" s="119" t="s">
        <v>1086</v>
      </c>
      <c r="C1396" s="106" t="s">
        <v>782</v>
      </c>
      <c r="D1396" s="111" t="s">
        <v>2062</v>
      </c>
      <c r="E1396" s="95">
        <v>11854</v>
      </c>
      <c r="F1396" s="35">
        <v>0</v>
      </c>
    </row>
    <row r="1397" spans="1:6" s="4" customFormat="1" ht="12">
      <c r="A1397" s="106">
        <v>240314</v>
      </c>
      <c r="B1397" s="119" t="s">
        <v>1086</v>
      </c>
      <c r="C1397" s="106" t="s">
        <v>3243</v>
      </c>
      <c r="D1397" s="111" t="s">
        <v>2063</v>
      </c>
      <c r="E1397" s="95">
        <v>14050</v>
      </c>
      <c r="F1397" s="35">
        <v>0</v>
      </c>
    </row>
    <row r="1398" spans="1:6" s="4" customFormat="1" ht="12">
      <c r="A1398" s="106">
        <v>240314</v>
      </c>
      <c r="B1398" s="119" t="s">
        <v>1086</v>
      </c>
      <c r="C1398" s="106" t="s">
        <v>3247</v>
      </c>
      <c r="D1398" s="111" t="s">
        <v>2064</v>
      </c>
      <c r="E1398" s="95">
        <v>11459</v>
      </c>
      <c r="F1398" s="35">
        <v>0</v>
      </c>
    </row>
    <row r="1399" spans="1:6" s="4" customFormat="1" ht="12">
      <c r="A1399" s="106">
        <v>240314</v>
      </c>
      <c r="B1399" s="119" t="s">
        <v>1086</v>
      </c>
      <c r="C1399" s="106" t="s">
        <v>3251</v>
      </c>
      <c r="D1399" s="111" t="s">
        <v>2065</v>
      </c>
      <c r="E1399" s="95">
        <v>30606</v>
      </c>
      <c r="F1399" s="35">
        <v>0</v>
      </c>
    </row>
    <row r="1400" spans="1:6" s="4" customFormat="1" ht="12">
      <c r="A1400" s="106">
        <v>240314</v>
      </c>
      <c r="B1400" s="119" t="s">
        <v>1086</v>
      </c>
      <c r="C1400" s="106" t="s">
        <v>3255</v>
      </c>
      <c r="D1400" s="111" t="s">
        <v>2066</v>
      </c>
      <c r="E1400" s="95">
        <v>25079</v>
      </c>
      <c r="F1400" s="35">
        <v>0</v>
      </c>
    </row>
    <row r="1401" spans="1:6" s="4" customFormat="1" ht="12">
      <c r="A1401" s="106">
        <v>240314</v>
      </c>
      <c r="B1401" s="119" t="s">
        <v>1086</v>
      </c>
      <c r="C1401" s="106" t="s">
        <v>3260</v>
      </c>
      <c r="D1401" s="111" t="s">
        <v>2067</v>
      </c>
      <c r="E1401" s="95">
        <v>14470</v>
      </c>
      <c r="F1401" s="35">
        <v>0</v>
      </c>
    </row>
    <row r="1402" spans="1:6" s="4" customFormat="1" ht="12">
      <c r="A1402" s="106">
        <v>240314</v>
      </c>
      <c r="B1402" s="119" t="s">
        <v>1086</v>
      </c>
      <c r="C1402" s="106" t="s">
        <v>3280</v>
      </c>
      <c r="D1402" s="111" t="s">
        <v>2068</v>
      </c>
      <c r="E1402" s="95">
        <v>20960</v>
      </c>
      <c r="F1402" s="35">
        <v>0</v>
      </c>
    </row>
    <row r="1403" spans="1:6" s="4" customFormat="1" ht="12">
      <c r="A1403" s="106">
        <v>240314</v>
      </c>
      <c r="B1403" s="119" t="s">
        <v>1086</v>
      </c>
      <c r="C1403" s="106" t="s">
        <v>3291</v>
      </c>
      <c r="D1403" s="111" t="s">
        <v>2069</v>
      </c>
      <c r="E1403" s="95">
        <v>14219</v>
      </c>
      <c r="F1403" s="35">
        <v>0</v>
      </c>
    </row>
    <row r="1404" spans="1:6" s="4" customFormat="1" ht="12">
      <c r="A1404" s="106">
        <v>240314</v>
      </c>
      <c r="B1404" s="119" t="s">
        <v>1086</v>
      </c>
      <c r="C1404" s="106" t="s">
        <v>3294</v>
      </c>
      <c r="D1404" s="111" t="s">
        <v>2070</v>
      </c>
      <c r="E1404" s="95">
        <v>16635</v>
      </c>
      <c r="F1404" s="35">
        <v>0</v>
      </c>
    </row>
    <row r="1405" spans="1:6" s="4" customFormat="1" ht="12">
      <c r="A1405" s="106">
        <v>240314</v>
      </c>
      <c r="B1405" s="119" t="s">
        <v>1086</v>
      </c>
      <c r="C1405" s="106" t="s">
        <v>3296</v>
      </c>
      <c r="D1405" s="111" t="s">
        <v>2071</v>
      </c>
      <c r="E1405" s="95">
        <v>6549</v>
      </c>
      <c r="F1405" s="35">
        <v>0</v>
      </c>
    </row>
    <row r="1406" spans="1:6" s="4" customFormat="1" ht="12">
      <c r="A1406" s="106">
        <v>240314</v>
      </c>
      <c r="B1406" s="119" t="s">
        <v>1086</v>
      </c>
      <c r="C1406" s="106" t="s">
        <v>2072</v>
      </c>
      <c r="D1406" s="111" t="s">
        <v>2073</v>
      </c>
      <c r="E1406" s="95">
        <v>6969</v>
      </c>
      <c r="F1406" s="35">
        <v>0</v>
      </c>
    </row>
    <row r="1407" spans="1:6" s="4" customFormat="1" ht="12">
      <c r="A1407" s="106">
        <v>240314</v>
      </c>
      <c r="B1407" s="119" t="s">
        <v>1086</v>
      </c>
      <c r="C1407" s="106" t="s">
        <v>3303</v>
      </c>
      <c r="D1407" s="111" t="s">
        <v>2074</v>
      </c>
      <c r="E1407" s="95">
        <v>5747</v>
      </c>
      <c r="F1407" s="35">
        <v>0</v>
      </c>
    </row>
    <row r="1408" spans="1:6" s="4" customFormat="1" ht="12">
      <c r="A1408" s="106">
        <v>240314</v>
      </c>
      <c r="B1408" s="119" t="s">
        <v>1086</v>
      </c>
      <c r="C1408" s="106" t="s">
        <v>3306</v>
      </c>
      <c r="D1408" s="111" t="s">
        <v>2075</v>
      </c>
      <c r="E1408" s="95">
        <v>17266</v>
      </c>
      <c r="F1408" s="35">
        <v>0</v>
      </c>
    </row>
    <row r="1409" spans="1:6" s="4" customFormat="1" ht="12">
      <c r="A1409" s="106">
        <v>240314</v>
      </c>
      <c r="B1409" s="119" t="s">
        <v>1086</v>
      </c>
      <c r="C1409" s="106" t="s">
        <v>3320</v>
      </c>
      <c r="D1409" s="111" t="s">
        <v>2076</v>
      </c>
      <c r="E1409" s="95">
        <v>9359</v>
      </c>
      <c r="F1409" s="35">
        <v>0</v>
      </c>
    </row>
    <row r="1410" spans="1:6" s="4" customFormat="1" ht="12">
      <c r="A1410" s="106">
        <v>240314</v>
      </c>
      <c r="B1410" s="119" t="s">
        <v>1086</v>
      </c>
      <c r="C1410" s="106" t="s">
        <v>2077</v>
      </c>
      <c r="D1410" s="111" t="s">
        <v>2078</v>
      </c>
      <c r="E1410" s="95">
        <v>10437</v>
      </c>
      <c r="F1410" s="35">
        <v>0</v>
      </c>
    </row>
    <row r="1411" spans="1:6" s="4" customFormat="1" ht="12">
      <c r="A1411" s="106">
        <v>240314</v>
      </c>
      <c r="B1411" s="119" t="s">
        <v>1086</v>
      </c>
      <c r="C1411" s="106" t="s">
        <v>3325</v>
      </c>
      <c r="D1411" s="111" t="s">
        <v>2079</v>
      </c>
      <c r="E1411" s="95">
        <v>15975</v>
      </c>
      <c r="F1411" s="35">
        <v>0</v>
      </c>
    </row>
    <row r="1412" spans="1:6" s="4" customFormat="1" ht="12">
      <c r="A1412" s="106">
        <v>240314</v>
      </c>
      <c r="B1412" s="119" t="s">
        <v>1086</v>
      </c>
      <c r="C1412" s="106" t="s">
        <v>3332</v>
      </c>
      <c r="D1412" s="111" t="s">
        <v>2080</v>
      </c>
      <c r="E1412" s="95">
        <v>5079</v>
      </c>
      <c r="F1412" s="35">
        <v>0</v>
      </c>
    </row>
    <row r="1413" spans="1:6" s="4" customFormat="1" ht="12">
      <c r="A1413" s="106">
        <v>240314</v>
      </c>
      <c r="B1413" s="119" t="s">
        <v>1086</v>
      </c>
      <c r="C1413" s="106" t="s">
        <v>3336</v>
      </c>
      <c r="D1413" s="111" t="s">
        <v>2081</v>
      </c>
      <c r="E1413" s="95">
        <v>3114</v>
      </c>
      <c r="F1413" s="35">
        <v>0</v>
      </c>
    </row>
    <row r="1414" spans="1:6" s="4" customFormat="1" ht="12">
      <c r="A1414" s="106">
        <v>240314</v>
      </c>
      <c r="B1414" s="119" t="s">
        <v>1086</v>
      </c>
      <c r="C1414" s="106" t="s">
        <v>3348</v>
      </c>
      <c r="D1414" s="111" t="s">
        <v>2082</v>
      </c>
      <c r="E1414" s="95">
        <v>17400</v>
      </c>
      <c r="F1414" s="35">
        <v>0</v>
      </c>
    </row>
    <row r="1415" spans="1:6" s="4" customFormat="1" ht="12">
      <c r="A1415" s="106">
        <v>240314</v>
      </c>
      <c r="B1415" s="119" t="s">
        <v>1086</v>
      </c>
      <c r="C1415" s="106" t="s">
        <v>3350</v>
      </c>
      <c r="D1415" s="111" t="s">
        <v>2083</v>
      </c>
      <c r="E1415" s="95">
        <v>29890</v>
      </c>
      <c r="F1415" s="35">
        <v>0</v>
      </c>
    </row>
    <row r="1416" spans="1:6" s="4" customFormat="1" ht="12">
      <c r="A1416" s="106">
        <v>240314</v>
      </c>
      <c r="B1416" s="119" t="s">
        <v>1086</v>
      </c>
      <c r="C1416" s="106" t="s">
        <v>2084</v>
      </c>
      <c r="D1416" s="111" t="s">
        <v>2085</v>
      </c>
      <c r="E1416" s="95">
        <v>6236</v>
      </c>
      <c r="F1416" s="35">
        <v>0</v>
      </c>
    </row>
    <row r="1417" spans="1:6" s="4" customFormat="1" ht="12">
      <c r="A1417" s="106">
        <v>240314</v>
      </c>
      <c r="B1417" s="119" t="s">
        <v>1086</v>
      </c>
      <c r="C1417" s="106" t="s">
        <v>3373</v>
      </c>
      <c r="D1417" s="111" t="s">
        <v>2086</v>
      </c>
      <c r="E1417" s="95">
        <v>14239</v>
      </c>
      <c r="F1417" s="35">
        <v>0</v>
      </c>
    </row>
    <row r="1418" spans="1:6" s="4" customFormat="1" ht="12">
      <c r="A1418" s="106">
        <v>240314</v>
      </c>
      <c r="B1418" s="119" t="s">
        <v>1086</v>
      </c>
      <c r="C1418" s="106" t="s">
        <v>3375</v>
      </c>
      <c r="D1418" s="111" t="s">
        <v>2087</v>
      </c>
      <c r="E1418" s="95">
        <v>7618</v>
      </c>
      <c r="F1418" s="35">
        <v>0</v>
      </c>
    </row>
    <row r="1419" spans="1:6" s="4" customFormat="1" ht="12">
      <c r="A1419" s="106">
        <v>240314</v>
      </c>
      <c r="B1419" s="119" t="s">
        <v>1086</v>
      </c>
      <c r="C1419" s="106" t="s">
        <v>3420</v>
      </c>
      <c r="D1419" s="111" t="s">
        <v>2088</v>
      </c>
      <c r="E1419" s="95">
        <v>37660</v>
      </c>
      <c r="F1419" s="35">
        <v>0</v>
      </c>
    </row>
    <row r="1420" spans="1:6" s="4" customFormat="1" ht="12">
      <c r="A1420" s="106">
        <v>240314</v>
      </c>
      <c r="B1420" s="119" t="s">
        <v>1086</v>
      </c>
      <c r="C1420" s="106" t="s">
        <v>3378</v>
      </c>
      <c r="D1420" s="111" t="s">
        <v>2089</v>
      </c>
      <c r="E1420" s="95">
        <v>8166</v>
      </c>
      <c r="F1420" s="35">
        <v>0</v>
      </c>
    </row>
    <row r="1421" spans="1:6" s="4" customFormat="1" ht="12">
      <c r="A1421" s="106">
        <v>240314</v>
      </c>
      <c r="B1421" s="119" t="s">
        <v>1086</v>
      </c>
      <c r="C1421" s="106" t="s">
        <v>3389</v>
      </c>
      <c r="D1421" s="111" t="s">
        <v>2090</v>
      </c>
      <c r="E1421" s="95">
        <v>5037</v>
      </c>
      <c r="F1421" s="35">
        <v>0</v>
      </c>
    </row>
    <row r="1422" spans="1:6" s="4" customFormat="1" ht="12">
      <c r="A1422" s="106">
        <v>240314</v>
      </c>
      <c r="B1422" s="119" t="s">
        <v>1086</v>
      </c>
      <c r="C1422" s="106" t="s">
        <v>3407</v>
      </c>
      <c r="D1422" s="111" t="s">
        <v>2091</v>
      </c>
      <c r="E1422" s="95">
        <v>9016</v>
      </c>
      <c r="F1422" s="35">
        <v>0</v>
      </c>
    </row>
    <row r="1423" spans="1:6" s="4" customFormat="1" ht="12">
      <c r="A1423" s="106">
        <v>240314</v>
      </c>
      <c r="B1423" s="119" t="s">
        <v>1086</v>
      </c>
      <c r="C1423" s="106" t="s">
        <v>3412</v>
      </c>
      <c r="D1423" s="111" t="s">
        <v>2092</v>
      </c>
      <c r="E1423" s="95">
        <v>5221</v>
      </c>
      <c r="F1423" s="35">
        <v>0</v>
      </c>
    </row>
    <row r="1424" spans="1:6" s="4" customFormat="1" ht="12">
      <c r="A1424" s="106">
        <v>240314</v>
      </c>
      <c r="B1424" s="119" t="s">
        <v>1086</v>
      </c>
      <c r="C1424" s="106" t="s">
        <v>1005</v>
      </c>
      <c r="D1424" s="111" t="s">
        <v>2093</v>
      </c>
      <c r="E1424" s="95">
        <v>2883</v>
      </c>
      <c r="F1424" s="35">
        <v>0</v>
      </c>
    </row>
    <row r="1425" spans="1:6" s="4" customFormat="1" ht="12">
      <c r="A1425" s="106">
        <v>240314</v>
      </c>
      <c r="B1425" s="119" t="s">
        <v>1086</v>
      </c>
      <c r="C1425" s="103" t="s">
        <v>1012</v>
      </c>
      <c r="D1425" s="111" t="s">
        <v>2094</v>
      </c>
      <c r="E1425" s="95">
        <v>21485</v>
      </c>
      <c r="F1425" s="35">
        <v>0</v>
      </c>
    </row>
    <row r="1426" spans="1:6" s="4" customFormat="1" ht="12">
      <c r="A1426" s="106">
        <v>240314</v>
      </c>
      <c r="B1426" s="119" t="s">
        <v>1086</v>
      </c>
      <c r="C1426" s="106" t="s">
        <v>1018</v>
      </c>
      <c r="D1426" s="111" t="s">
        <v>2095</v>
      </c>
      <c r="E1426" s="95">
        <v>27688</v>
      </c>
      <c r="F1426" s="35">
        <v>0</v>
      </c>
    </row>
    <row r="1427" spans="1:6" s="4" customFormat="1" ht="12">
      <c r="A1427" s="106">
        <v>240314</v>
      </c>
      <c r="B1427" s="119" t="s">
        <v>1086</v>
      </c>
      <c r="C1427" s="106" t="s">
        <v>1020</v>
      </c>
      <c r="D1427" s="111" t="s">
        <v>2096</v>
      </c>
      <c r="E1427" s="95">
        <v>18011</v>
      </c>
      <c r="F1427" s="35">
        <v>0</v>
      </c>
    </row>
    <row r="1428" spans="1:6" s="4" customFormat="1" ht="12">
      <c r="A1428" s="106">
        <v>240314</v>
      </c>
      <c r="B1428" s="119" t="s">
        <v>1086</v>
      </c>
      <c r="C1428" s="106" t="s">
        <v>1025</v>
      </c>
      <c r="D1428" s="111" t="s">
        <v>2097</v>
      </c>
      <c r="E1428" s="95">
        <v>24233</v>
      </c>
      <c r="F1428" s="35">
        <v>0</v>
      </c>
    </row>
    <row r="1429" spans="1:6" s="4" customFormat="1" ht="12">
      <c r="A1429" s="106">
        <v>240314</v>
      </c>
      <c r="B1429" s="119" t="s">
        <v>1086</v>
      </c>
      <c r="C1429" s="106" t="s">
        <v>2098</v>
      </c>
      <c r="D1429" s="111" t="s">
        <v>2099</v>
      </c>
      <c r="E1429" s="95">
        <v>5621</v>
      </c>
      <c r="F1429" s="35">
        <v>0</v>
      </c>
    </row>
    <row r="1430" spans="1:6" s="4" customFormat="1" ht="12">
      <c r="A1430" s="106">
        <v>240314</v>
      </c>
      <c r="B1430" s="119" t="s">
        <v>1086</v>
      </c>
      <c r="C1430" s="106" t="s">
        <v>1041</v>
      </c>
      <c r="D1430" s="111" t="s">
        <v>2100</v>
      </c>
      <c r="E1430" s="95">
        <v>95002</v>
      </c>
      <c r="F1430" s="35">
        <v>0</v>
      </c>
    </row>
    <row r="1431" spans="1:6" s="4" customFormat="1" ht="12">
      <c r="A1431" s="106">
        <v>240314</v>
      </c>
      <c r="B1431" s="119" t="s">
        <v>1086</v>
      </c>
      <c r="C1431" s="106">
        <v>210127001</v>
      </c>
      <c r="D1431" s="111" t="s">
        <v>2101</v>
      </c>
      <c r="E1431" s="95">
        <v>227826</v>
      </c>
      <c r="F1431" s="35">
        <v>0</v>
      </c>
    </row>
    <row r="1432" spans="1:6" s="4" customFormat="1" ht="12">
      <c r="A1432" s="106">
        <v>240314</v>
      </c>
      <c r="B1432" s="119" t="s">
        <v>1086</v>
      </c>
      <c r="C1432" s="103" t="s">
        <v>2102</v>
      </c>
      <c r="D1432" s="111" t="s">
        <v>2103</v>
      </c>
      <c r="E1432" s="95">
        <v>15132</v>
      </c>
      <c r="F1432" s="35">
        <v>0</v>
      </c>
    </row>
    <row r="1433" spans="1:6" s="4" customFormat="1" ht="12">
      <c r="A1433" s="106">
        <v>240314</v>
      </c>
      <c r="B1433" s="119" t="s">
        <v>1086</v>
      </c>
      <c r="C1433" s="103" t="s">
        <v>2104</v>
      </c>
      <c r="D1433" s="111" t="s">
        <v>2105</v>
      </c>
      <c r="E1433" s="95">
        <v>34577</v>
      </c>
      <c r="F1433" s="35">
        <v>0</v>
      </c>
    </row>
    <row r="1434" spans="1:6" s="4" customFormat="1" ht="12">
      <c r="A1434" s="106">
        <v>240314</v>
      </c>
      <c r="B1434" s="119" t="s">
        <v>1086</v>
      </c>
      <c r="C1434" s="106">
        <v>215027050</v>
      </c>
      <c r="D1434" s="111" t="s">
        <v>2106</v>
      </c>
      <c r="E1434" s="95">
        <v>13768</v>
      </c>
      <c r="F1434" s="35">
        <v>0</v>
      </c>
    </row>
    <row r="1435" spans="1:6" s="4" customFormat="1" ht="12">
      <c r="A1435" s="106">
        <v>240314</v>
      </c>
      <c r="B1435" s="119" t="s">
        <v>1086</v>
      </c>
      <c r="C1435" s="103">
        <v>217327073</v>
      </c>
      <c r="D1435" s="111" t="s">
        <v>2107</v>
      </c>
      <c r="E1435" s="95">
        <v>20022</v>
      </c>
      <c r="F1435" s="35">
        <v>0</v>
      </c>
    </row>
    <row r="1436" spans="1:6" s="4" customFormat="1" ht="12">
      <c r="A1436" s="106">
        <v>240314</v>
      </c>
      <c r="B1436" s="119" t="s">
        <v>1086</v>
      </c>
      <c r="C1436" s="103" t="s">
        <v>317</v>
      </c>
      <c r="D1436" s="111" t="s">
        <v>2108</v>
      </c>
      <c r="E1436" s="95">
        <v>14782</v>
      </c>
      <c r="F1436" s="35">
        <v>0</v>
      </c>
    </row>
    <row r="1437" spans="1:6" s="4" customFormat="1" ht="12">
      <c r="A1437" s="106">
        <v>240314</v>
      </c>
      <c r="B1437" s="119" t="s">
        <v>1086</v>
      </c>
      <c r="C1437" s="106" t="s">
        <v>2109</v>
      </c>
      <c r="D1437" s="111" t="s">
        <v>2110</v>
      </c>
      <c r="E1437" s="95">
        <v>28742</v>
      </c>
      <c r="F1437" s="35">
        <v>0</v>
      </c>
    </row>
    <row r="1438" spans="1:6" s="4" customFormat="1" ht="12">
      <c r="A1438" s="106">
        <v>240314</v>
      </c>
      <c r="B1438" s="119" t="s">
        <v>1086</v>
      </c>
      <c r="C1438" s="106" t="s">
        <v>2111</v>
      </c>
      <c r="D1438" s="111" t="s">
        <v>2112</v>
      </c>
      <c r="E1438" s="95">
        <v>21277</v>
      </c>
      <c r="F1438" s="35">
        <v>0</v>
      </c>
    </row>
    <row r="1439" spans="1:6" s="4" customFormat="1" ht="12">
      <c r="A1439" s="106">
        <v>240314</v>
      </c>
      <c r="B1439" s="119" t="s">
        <v>1086</v>
      </c>
      <c r="C1439" s="106" t="s">
        <v>2113</v>
      </c>
      <c r="D1439" s="111" t="s">
        <v>2114</v>
      </c>
      <c r="E1439" s="95">
        <v>12206</v>
      </c>
      <c r="F1439" s="35">
        <v>0</v>
      </c>
    </row>
    <row r="1440" spans="1:6" s="4" customFormat="1" ht="12">
      <c r="A1440" s="106">
        <v>240314</v>
      </c>
      <c r="B1440" s="119" t="s">
        <v>1086</v>
      </c>
      <c r="C1440" s="103" t="s">
        <v>2115</v>
      </c>
      <c r="D1440" s="111" t="s">
        <v>2116</v>
      </c>
      <c r="E1440" s="95">
        <v>12529</v>
      </c>
      <c r="F1440" s="35">
        <v>0</v>
      </c>
    </row>
    <row r="1441" spans="1:6" s="4" customFormat="1" ht="12">
      <c r="A1441" s="106">
        <v>240314</v>
      </c>
      <c r="B1441" s="119" t="s">
        <v>1086</v>
      </c>
      <c r="C1441" s="106" t="s">
        <v>2117</v>
      </c>
      <c r="D1441" s="111" t="s">
        <v>2118</v>
      </c>
      <c r="E1441" s="95">
        <v>7402</v>
      </c>
      <c r="F1441" s="35">
        <v>0</v>
      </c>
    </row>
    <row r="1442" spans="1:6" s="4" customFormat="1" ht="12">
      <c r="A1442" s="106">
        <v>240314</v>
      </c>
      <c r="B1442" s="119" t="s">
        <v>1086</v>
      </c>
      <c r="C1442" s="106" t="s">
        <v>477</v>
      </c>
      <c r="D1442" s="111" t="s">
        <v>2119</v>
      </c>
      <c r="E1442" s="95">
        <v>27878</v>
      </c>
      <c r="F1442" s="35">
        <v>0</v>
      </c>
    </row>
    <row r="1443" spans="1:6" s="4" customFormat="1" ht="12">
      <c r="A1443" s="106">
        <v>240314</v>
      </c>
      <c r="B1443" s="119" t="s">
        <v>1086</v>
      </c>
      <c r="C1443" s="106" t="s">
        <v>2120</v>
      </c>
      <c r="D1443" s="111" t="s">
        <v>2121</v>
      </c>
      <c r="E1443" s="95">
        <v>8811</v>
      </c>
      <c r="F1443" s="35">
        <v>0</v>
      </c>
    </row>
    <row r="1444" spans="1:6" s="4" customFormat="1" ht="12">
      <c r="A1444" s="106">
        <v>240314</v>
      </c>
      <c r="B1444" s="119" t="s">
        <v>1086</v>
      </c>
      <c r="C1444" s="106" t="s">
        <v>1054</v>
      </c>
      <c r="D1444" s="111" t="s">
        <v>2122</v>
      </c>
      <c r="E1444" s="95">
        <v>23009</v>
      </c>
      <c r="F1444" s="35">
        <v>0</v>
      </c>
    </row>
    <row r="1445" spans="1:6" s="4" customFormat="1" ht="12">
      <c r="A1445" s="106">
        <v>240314</v>
      </c>
      <c r="B1445" s="119" t="s">
        <v>1086</v>
      </c>
      <c r="C1445" s="106">
        <v>216127361</v>
      </c>
      <c r="D1445" s="111" t="s">
        <v>2123</v>
      </c>
      <c r="E1445" s="95">
        <v>57726</v>
      </c>
      <c r="F1445" s="35">
        <v>0</v>
      </c>
    </row>
    <row r="1446" spans="1:6" s="4" customFormat="1" ht="12">
      <c r="A1446" s="106">
        <v>240314</v>
      </c>
      <c r="B1446" s="119" t="s">
        <v>1086</v>
      </c>
      <c r="C1446" s="106">
        <v>217227372</v>
      </c>
      <c r="D1446" s="111" t="s">
        <v>2124</v>
      </c>
      <c r="E1446" s="95">
        <v>4702</v>
      </c>
      <c r="F1446" s="35">
        <v>0</v>
      </c>
    </row>
    <row r="1447" spans="1:6" s="4" customFormat="1" ht="12">
      <c r="A1447" s="106">
        <v>240314</v>
      </c>
      <c r="B1447" s="119" t="s">
        <v>1086</v>
      </c>
      <c r="C1447" s="106">
        <v>211327413</v>
      </c>
      <c r="D1447" s="111" t="s">
        <v>2125</v>
      </c>
      <c r="E1447" s="95">
        <v>17131</v>
      </c>
      <c r="F1447" s="35">
        <v>0</v>
      </c>
    </row>
    <row r="1448" spans="1:6" s="4" customFormat="1" ht="12">
      <c r="A1448" s="106">
        <v>240314</v>
      </c>
      <c r="B1448" s="119" t="s">
        <v>1086</v>
      </c>
      <c r="C1448" s="103">
        <v>212527425</v>
      </c>
      <c r="D1448" s="111" t="s">
        <v>2126</v>
      </c>
      <c r="E1448" s="95">
        <v>15280</v>
      </c>
      <c r="F1448" s="35">
        <v>0</v>
      </c>
    </row>
    <row r="1449" spans="1:6" s="4" customFormat="1" ht="12">
      <c r="A1449" s="106">
        <v>240314</v>
      </c>
      <c r="B1449" s="119" t="s">
        <v>1086</v>
      </c>
      <c r="C1449" s="103">
        <v>213027430</v>
      </c>
      <c r="D1449" s="111" t="s">
        <v>2127</v>
      </c>
      <c r="E1449" s="95">
        <v>23308</v>
      </c>
      <c r="F1449" s="35">
        <v>0</v>
      </c>
    </row>
    <row r="1450" spans="1:6" s="4" customFormat="1" ht="12">
      <c r="A1450" s="106">
        <v>240314</v>
      </c>
      <c r="B1450" s="119" t="s">
        <v>1086</v>
      </c>
      <c r="C1450" s="103">
        <v>215027450</v>
      </c>
      <c r="D1450" s="111" t="s">
        <v>2128</v>
      </c>
      <c r="E1450" s="95">
        <v>17483</v>
      </c>
      <c r="F1450" s="35">
        <v>0</v>
      </c>
    </row>
    <row r="1451" spans="1:6" s="4" customFormat="1" ht="12">
      <c r="A1451" s="106">
        <v>240314</v>
      </c>
      <c r="B1451" s="119" t="s">
        <v>1086</v>
      </c>
      <c r="C1451" s="103">
        <v>219127491</v>
      </c>
      <c r="D1451" s="111" t="s">
        <v>2129</v>
      </c>
      <c r="E1451" s="95">
        <v>10200</v>
      </c>
      <c r="F1451" s="35">
        <v>0</v>
      </c>
    </row>
    <row r="1452" spans="1:6" s="4" customFormat="1" ht="12">
      <c r="A1452" s="106">
        <v>240314</v>
      </c>
      <c r="B1452" s="119" t="s">
        <v>1086</v>
      </c>
      <c r="C1452" s="106">
        <v>219527495</v>
      </c>
      <c r="D1452" s="111" t="s">
        <v>2130</v>
      </c>
      <c r="E1452" s="95">
        <v>11950</v>
      </c>
      <c r="F1452" s="35">
        <v>0</v>
      </c>
    </row>
    <row r="1453" spans="1:6" s="4" customFormat="1" ht="12">
      <c r="A1453" s="106">
        <v>240314</v>
      </c>
      <c r="B1453" s="119" t="s">
        <v>1086</v>
      </c>
      <c r="C1453" s="106">
        <v>218027580</v>
      </c>
      <c r="D1453" s="111" t="s">
        <v>2131</v>
      </c>
      <c r="E1453" s="95">
        <v>10074</v>
      </c>
      <c r="F1453" s="35">
        <v>0</v>
      </c>
    </row>
    <row r="1454" spans="1:6" s="4" customFormat="1" ht="12">
      <c r="A1454" s="106">
        <v>240314</v>
      </c>
      <c r="B1454" s="119" t="s">
        <v>1086</v>
      </c>
      <c r="C1454" s="106">
        <v>210027600</v>
      </c>
      <c r="D1454" s="111" t="s">
        <v>2132</v>
      </c>
      <c r="E1454" s="95">
        <v>15777</v>
      </c>
      <c r="F1454" s="35">
        <v>0</v>
      </c>
    </row>
    <row r="1455" spans="1:6" s="4" customFormat="1" ht="12">
      <c r="A1455" s="106">
        <v>240314</v>
      </c>
      <c r="B1455" s="119" t="s">
        <v>1086</v>
      </c>
      <c r="C1455" s="106">
        <v>211417614</v>
      </c>
      <c r="D1455" s="111" t="s">
        <v>2133</v>
      </c>
      <c r="E1455" s="95">
        <v>47644</v>
      </c>
      <c r="F1455" s="35">
        <v>0</v>
      </c>
    </row>
    <row r="1456" spans="1:6" s="4" customFormat="1" ht="12">
      <c r="A1456" s="106">
        <v>240314</v>
      </c>
      <c r="B1456" s="119" t="s">
        <v>1086</v>
      </c>
      <c r="C1456" s="106">
        <v>216027660</v>
      </c>
      <c r="D1456" s="111" t="s">
        <v>2134</v>
      </c>
      <c r="E1456" s="95">
        <v>6952</v>
      </c>
      <c r="F1456" s="35">
        <v>0</v>
      </c>
    </row>
    <row r="1457" spans="1:6" s="4" customFormat="1" ht="12">
      <c r="A1457" s="106">
        <v>240314</v>
      </c>
      <c r="B1457" s="119" t="s">
        <v>1086</v>
      </c>
      <c r="C1457" s="106">
        <v>214527745</v>
      </c>
      <c r="D1457" s="111" t="s">
        <v>2135</v>
      </c>
      <c r="E1457" s="95">
        <v>7002</v>
      </c>
      <c r="F1457" s="35">
        <v>0</v>
      </c>
    </row>
    <row r="1458" spans="1:6" s="4" customFormat="1" ht="12">
      <c r="A1458" s="106">
        <v>240314</v>
      </c>
      <c r="B1458" s="119" t="s">
        <v>1086</v>
      </c>
      <c r="C1458" s="103" t="s">
        <v>3308</v>
      </c>
      <c r="D1458" s="111" t="s">
        <v>2136</v>
      </c>
      <c r="E1458" s="95">
        <v>34786</v>
      </c>
      <c r="F1458" s="35">
        <v>0</v>
      </c>
    </row>
    <row r="1459" spans="1:6" s="4" customFormat="1" ht="12">
      <c r="A1459" s="106">
        <v>240314</v>
      </c>
      <c r="B1459" s="119" t="s">
        <v>1086</v>
      </c>
      <c r="C1459" s="103">
        <v>210027800</v>
      </c>
      <c r="D1459" s="111" t="s">
        <v>2137</v>
      </c>
      <c r="E1459" s="95">
        <v>19964</v>
      </c>
      <c r="F1459" s="35">
        <v>0</v>
      </c>
    </row>
    <row r="1460" spans="1:6" s="4" customFormat="1" ht="12">
      <c r="A1460" s="106">
        <v>240314</v>
      </c>
      <c r="B1460" s="119" t="s">
        <v>1086</v>
      </c>
      <c r="C1460" s="103">
        <v>211027810</v>
      </c>
      <c r="D1460" s="111" t="s">
        <v>2138</v>
      </c>
      <c r="E1460" s="95">
        <v>10610</v>
      </c>
      <c r="F1460" s="35">
        <v>0</v>
      </c>
    </row>
    <row r="1461" spans="1:6" s="4" customFormat="1" ht="12">
      <c r="A1461" s="106">
        <v>240314</v>
      </c>
      <c r="B1461" s="119" t="s">
        <v>1086</v>
      </c>
      <c r="C1461" s="106" t="s">
        <v>2139</v>
      </c>
      <c r="D1461" s="111" t="s">
        <v>2140</v>
      </c>
      <c r="E1461" s="95">
        <v>27490</v>
      </c>
      <c r="F1461" s="35">
        <v>0</v>
      </c>
    </row>
    <row r="1462" spans="1:6" s="4" customFormat="1" ht="12">
      <c r="A1462" s="106">
        <v>240314</v>
      </c>
      <c r="B1462" s="119" t="s">
        <v>1086</v>
      </c>
      <c r="C1462" s="106" t="s">
        <v>2141</v>
      </c>
      <c r="D1462" s="111" t="s">
        <v>2142</v>
      </c>
      <c r="E1462" s="95">
        <v>11354</v>
      </c>
      <c r="F1462" s="35">
        <v>0</v>
      </c>
    </row>
    <row r="1463" spans="1:6" s="4" customFormat="1" ht="12">
      <c r="A1463" s="106">
        <v>240314</v>
      </c>
      <c r="B1463" s="119" t="s">
        <v>1086</v>
      </c>
      <c r="C1463" s="106" t="s">
        <v>2143</v>
      </c>
      <c r="D1463" s="111" t="s">
        <v>2144</v>
      </c>
      <c r="E1463" s="95">
        <v>22522</v>
      </c>
      <c r="F1463" s="35">
        <v>0</v>
      </c>
    </row>
    <row r="1464" spans="1:6" s="4" customFormat="1" ht="12">
      <c r="A1464" s="106">
        <v>240314</v>
      </c>
      <c r="B1464" s="119" t="s">
        <v>1086</v>
      </c>
      <c r="C1464" s="106" t="s">
        <v>2145</v>
      </c>
      <c r="D1464" s="111" t="s">
        <v>2146</v>
      </c>
      <c r="E1464" s="95">
        <v>29009</v>
      </c>
      <c r="F1464" s="35">
        <v>0</v>
      </c>
    </row>
    <row r="1465" spans="1:6" s="4" customFormat="1" ht="12">
      <c r="A1465" s="106">
        <v>240314</v>
      </c>
      <c r="B1465" s="119" t="s">
        <v>1086</v>
      </c>
      <c r="C1465" s="106" t="s">
        <v>2147</v>
      </c>
      <c r="D1465" s="111" t="s">
        <v>2148</v>
      </c>
      <c r="E1465" s="95">
        <v>4795</v>
      </c>
      <c r="F1465" s="35">
        <v>0</v>
      </c>
    </row>
    <row r="1466" spans="1:6" s="4" customFormat="1" ht="12">
      <c r="A1466" s="106">
        <v>240314</v>
      </c>
      <c r="B1466" s="119" t="s">
        <v>1086</v>
      </c>
      <c r="C1466" s="106" t="s">
        <v>321</v>
      </c>
      <c r="D1466" s="111" t="s">
        <v>2149</v>
      </c>
      <c r="E1466" s="95">
        <v>10319</v>
      </c>
      <c r="F1466" s="35">
        <v>0</v>
      </c>
    </row>
    <row r="1467" spans="1:6" s="4" customFormat="1" ht="12">
      <c r="A1467" s="106">
        <v>240314</v>
      </c>
      <c r="B1467" s="119" t="s">
        <v>1086</v>
      </c>
      <c r="C1467" s="106" t="s">
        <v>396</v>
      </c>
      <c r="D1467" s="111" t="s">
        <v>2150</v>
      </c>
      <c r="E1467" s="95">
        <v>38032</v>
      </c>
      <c r="F1467" s="35">
        <v>0</v>
      </c>
    </row>
    <row r="1468" spans="1:6" s="4" customFormat="1" ht="12">
      <c r="A1468" s="106">
        <v>240314</v>
      </c>
      <c r="B1468" s="119" t="s">
        <v>1086</v>
      </c>
      <c r="C1468" s="106" t="s">
        <v>2151</v>
      </c>
      <c r="D1468" s="111" t="s">
        <v>2152</v>
      </c>
      <c r="E1468" s="95">
        <v>11662</v>
      </c>
      <c r="F1468" s="35">
        <v>0</v>
      </c>
    </row>
    <row r="1469" spans="1:6" s="4" customFormat="1" ht="12">
      <c r="A1469" s="106">
        <v>240314</v>
      </c>
      <c r="B1469" s="119" t="s">
        <v>1086</v>
      </c>
      <c r="C1469" s="106">
        <v>214441244</v>
      </c>
      <c r="D1469" s="111" t="s">
        <v>2153</v>
      </c>
      <c r="E1469" s="95">
        <v>4296</v>
      </c>
      <c r="F1469" s="35">
        <v>0</v>
      </c>
    </row>
    <row r="1470" spans="1:6" s="4" customFormat="1" ht="12">
      <c r="A1470" s="106">
        <v>240314</v>
      </c>
      <c r="B1470" s="119" t="s">
        <v>1086</v>
      </c>
      <c r="C1470" s="106" t="s">
        <v>3006</v>
      </c>
      <c r="D1470" s="111" t="s">
        <v>2154</v>
      </c>
      <c r="E1470" s="95">
        <v>76731</v>
      </c>
      <c r="F1470" s="35">
        <v>0</v>
      </c>
    </row>
    <row r="1471" spans="1:6" s="4" customFormat="1" ht="12">
      <c r="A1471" s="106">
        <v>240314</v>
      </c>
      <c r="B1471" s="119" t="s">
        <v>1086</v>
      </c>
      <c r="C1471" s="103" t="s">
        <v>3009</v>
      </c>
      <c r="D1471" s="111" t="s">
        <v>2155</v>
      </c>
      <c r="E1471" s="95">
        <v>36325</v>
      </c>
      <c r="F1471" s="35">
        <v>0</v>
      </c>
    </row>
    <row r="1472" spans="1:6" s="4" customFormat="1" ht="12">
      <c r="A1472" s="106">
        <v>240314</v>
      </c>
      <c r="B1472" s="119" t="s">
        <v>1086</v>
      </c>
      <c r="C1472" s="103" t="s">
        <v>3032</v>
      </c>
      <c r="D1472" s="111" t="s">
        <v>1235</v>
      </c>
      <c r="E1472" s="95">
        <v>22748</v>
      </c>
      <c r="F1472" s="35">
        <v>0</v>
      </c>
    </row>
    <row r="1473" spans="1:6" s="4" customFormat="1" ht="12">
      <c r="A1473" s="106">
        <v>240314</v>
      </c>
      <c r="B1473" s="119" t="s">
        <v>1086</v>
      </c>
      <c r="C1473" s="103" t="s">
        <v>2156</v>
      </c>
      <c r="D1473" s="111" t="s">
        <v>2157</v>
      </c>
      <c r="E1473" s="95">
        <v>8308</v>
      </c>
      <c r="F1473" s="35">
        <v>0</v>
      </c>
    </row>
    <row r="1474" spans="1:6" s="4" customFormat="1" ht="12">
      <c r="A1474" s="106">
        <v>240314</v>
      </c>
      <c r="B1474" s="119" t="s">
        <v>1086</v>
      </c>
      <c r="C1474" s="103" t="s">
        <v>3071</v>
      </c>
      <c r="D1474" s="111" t="s">
        <v>2158</v>
      </c>
      <c r="E1474" s="95">
        <v>15275</v>
      </c>
      <c r="F1474" s="35">
        <v>0</v>
      </c>
    </row>
    <row r="1475" spans="1:6" s="4" customFormat="1" ht="12">
      <c r="A1475" s="106">
        <v>240314</v>
      </c>
      <c r="B1475" s="119" t="s">
        <v>1086</v>
      </c>
      <c r="C1475" s="103" t="s">
        <v>3073</v>
      </c>
      <c r="D1475" s="111" t="s">
        <v>2159</v>
      </c>
      <c r="E1475" s="95">
        <v>25984</v>
      </c>
      <c r="F1475" s="35">
        <v>0</v>
      </c>
    </row>
    <row r="1476" spans="1:6" s="4" customFormat="1" ht="12">
      <c r="A1476" s="106">
        <v>240314</v>
      </c>
      <c r="B1476" s="119" t="s">
        <v>1086</v>
      </c>
      <c r="C1476" s="103" t="s">
        <v>3096</v>
      </c>
      <c r="D1476" s="111" t="s">
        <v>2160</v>
      </c>
      <c r="E1476" s="95">
        <v>16067</v>
      </c>
      <c r="F1476" s="35">
        <v>0</v>
      </c>
    </row>
    <row r="1477" spans="1:6" s="4" customFormat="1" ht="12">
      <c r="A1477" s="106">
        <v>240314</v>
      </c>
      <c r="B1477" s="119" t="s">
        <v>1086</v>
      </c>
      <c r="C1477" s="103" t="s">
        <v>3121</v>
      </c>
      <c r="D1477" s="111" t="s">
        <v>2161</v>
      </c>
      <c r="E1477" s="95">
        <v>62727</v>
      </c>
      <c r="F1477" s="35">
        <v>0</v>
      </c>
    </row>
    <row r="1478" spans="1:6" s="4" customFormat="1" ht="12">
      <c r="A1478" s="106">
        <v>240314</v>
      </c>
      <c r="B1478" s="119" t="s">
        <v>1086</v>
      </c>
      <c r="C1478" s="103">
        <v>218341483</v>
      </c>
      <c r="D1478" s="111" t="s">
        <v>2162</v>
      </c>
      <c r="E1478" s="95">
        <v>9217</v>
      </c>
      <c r="F1478" s="35">
        <v>0</v>
      </c>
    </row>
    <row r="1479" spans="1:6" s="4" customFormat="1" ht="12">
      <c r="A1479" s="106">
        <v>240314</v>
      </c>
      <c r="B1479" s="119" t="s">
        <v>1086</v>
      </c>
      <c r="C1479" s="103" t="s">
        <v>563</v>
      </c>
      <c r="D1479" s="111" t="s">
        <v>2163</v>
      </c>
      <c r="E1479" s="95">
        <v>11793</v>
      </c>
      <c r="F1479" s="35">
        <v>0</v>
      </c>
    </row>
    <row r="1480" spans="1:6" s="4" customFormat="1" ht="12">
      <c r="A1480" s="106">
        <v>240314</v>
      </c>
      <c r="B1480" s="119" t="s">
        <v>1086</v>
      </c>
      <c r="C1480" s="103" t="s">
        <v>577</v>
      </c>
      <c r="D1480" s="111" t="s">
        <v>2164</v>
      </c>
      <c r="E1480" s="95">
        <v>6956</v>
      </c>
      <c r="F1480" s="35">
        <v>0</v>
      </c>
    </row>
    <row r="1481" spans="1:6" s="4" customFormat="1" ht="12">
      <c r="A1481" s="106">
        <v>240314</v>
      </c>
      <c r="B1481" s="119" t="s">
        <v>1086</v>
      </c>
      <c r="C1481" s="103" t="s">
        <v>583</v>
      </c>
      <c r="D1481" s="111" t="s">
        <v>2165</v>
      </c>
      <c r="E1481" s="95">
        <v>28906</v>
      </c>
      <c r="F1481" s="35">
        <v>0</v>
      </c>
    </row>
    <row r="1482" spans="1:6" s="4" customFormat="1" ht="12">
      <c r="A1482" s="106">
        <v>240314</v>
      </c>
      <c r="B1482" s="119" t="s">
        <v>1086</v>
      </c>
      <c r="C1482" s="103" t="s">
        <v>2166</v>
      </c>
      <c r="D1482" s="111" t="s">
        <v>1566</v>
      </c>
      <c r="E1482" s="95">
        <v>12945</v>
      </c>
      <c r="F1482" s="35">
        <v>0</v>
      </c>
    </row>
    <row r="1483" spans="1:6" s="4" customFormat="1" ht="12">
      <c r="A1483" s="106">
        <v>240314</v>
      </c>
      <c r="B1483" s="119" t="s">
        <v>1086</v>
      </c>
      <c r="C1483" s="103">
        <v>214841548</v>
      </c>
      <c r="D1483" s="111" t="s">
        <v>2167</v>
      </c>
      <c r="E1483" s="95">
        <v>15968</v>
      </c>
      <c r="F1483" s="35">
        <v>0</v>
      </c>
    </row>
    <row r="1484" spans="1:6" s="4" customFormat="1" ht="12">
      <c r="A1484" s="106">
        <v>240314</v>
      </c>
      <c r="B1484" s="119" t="s">
        <v>1086</v>
      </c>
      <c r="C1484" s="103" t="s">
        <v>631</v>
      </c>
      <c r="D1484" s="111" t="s">
        <v>2168</v>
      </c>
      <c r="E1484" s="95">
        <v>125635</v>
      </c>
      <c r="F1484" s="35">
        <v>0</v>
      </c>
    </row>
    <row r="1485" spans="1:6" s="4" customFormat="1" ht="12">
      <c r="A1485" s="106">
        <v>240314</v>
      </c>
      <c r="B1485" s="119" t="s">
        <v>1086</v>
      </c>
      <c r="C1485" s="103" t="s">
        <v>2169</v>
      </c>
      <c r="D1485" s="111" t="s">
        <v>2170</v>
      </c>
      <c r="E1485" s="95">
        <v>22544</v>
      </c>
      <c r="F1485" s="35">
        <v>0</v>
      </c>
    </row>
    <row r="1486" spans="1:6" s="4" customFormat="1" ht="12">
      <c r="A1486" s="106">
        <v>240314</v>
      </c>
      <c r="B1486" s="119" t="s">
        <v>1086</v>
      </c>
      <c r="C1486" s="103" t="s">
        <v>731</v>
      </c>
      <c r="D1486" s="111" t="s">
        <v>2171</v>
      </c>
      <c r="E1486" s="95">
        <v>11334</v>
      </c>
      <c r="F1486" s="35">
        <v>0</v>
      </c>
    </row>
    <row r="1487" spans="1:6" s="4" customFormat="1" ht="12">
      <c r="A1487" s="106">
        <v>240314</v>
      </c>
      <c r="B1487" s="119" t="s">
        <v>1086</v>
      </c>
      <c r="C1487" s="103" t="s">
        <v>2172</v>
      </c>
      <c r="D1487" s="111" t="s">
        <v>2173</v>
      </c>
      <c r="E1487" s="95">
        <v>33451</v>
      </c>
      <c r="F1487" s="35">
        <v>0</v>
      </c>
    </row>
    <row r="1488" spans="1:6" s="4" customFormat="1" ht="12">
      <c r="A1488" s="106">
        <v>240314</v>
      </c>
      <c r="B1488" s="119" t="s">
        <v>1086</v>
      </c>
      <c r="C1488" s="103" t="s">
        <v>816</v>
      </c>
      <c r="D1488" s="111" t="s">
        <v>1516</v>
      </c>
      <c r="E1488" s="95">
        <v>12535</v>
      </c>
      <c r="F1488" s="35">
        <v>0</v>
      </c>
    </row>
    <row r="1489" spans="1:6" s="4" customFormat="1" ht="12">
      <c r="A1489" s="106">
        <v>240314</v>
      </c>
      <c r="B1489" s="119" t="s">
        <v>1086</v>
      </c>
      <c r="C1489" s="103" t="s">
        <v>2174</v>
      </c>
      <c r="D1489" s="111" t="s">
        <v>2175</v>
      </c>
      <c r="E1489" s="95">
        <v>18035</v>
      </c>
      <c r="F1489" s="35">
        <v>0</v>
      </c>
    </row>
    <row r="1490" spans="1:6" s="4" customFormat="1" ht="12">
      <c r="A1490" s="106">
        <v>240314</v>
      </c>
      <c r="B1490" s="119" t="s">
        <v>1086</v>
      </c>
      <c r="C1490" s="103">
        <v>219141791</v>
      </c>
      <c r="D1490" s="111" t="s">
        <v>2176</v>
      </c>
      <c r="E1490" s="95">
        <v>20912</v>
      </c>
      <c r="F1490" s="35">
        <v>0</v>
      </c>
    </row>
    <row r="1491" spans="1:6" s="4" customFormat="1" ht="12">
      <c r="A1491" s="106">
        <v>240314</v>
      </c>
      <c r="B1491" s="119" t="s">
        <v>1086</v>
      </c>
      <c r="C1491" s="103" t="s">
        <v>3330</v>
      </c>
      <c r="D1491" s="111" t="s">
        <v>2177</v>
      </c>
      <c r="E1491" s="95">
        <v>11820</v>
      </c>
      <c r="F1491" s="35">
        <v>0</v>
      </c>
    </row>
    <row r="1492" spans="1:6" s="4" customFormat="1" ht="12">
      <c r="A1492" s="106">
        <v>240314</v>
      </c>
      <c r="B1492" s="119" t="s">
        <v>1086</v>
      </c>
      <c r="C1492" s="103" t="s">
        <v>3322</v>
      </c>
      <c r="D1492" s="111" t="s">
        <v>2178</v>
      </c>
      <c r="E1492" s="95">
        <v>18505</v>
      </c>
      <c r="F1492" s="35">
        <v>0</v>
      </c>
    </row>
    <row r="1493" spans="1:6" s="4" customFormat="1" ht="12">
      <c r="A1493" s="106">
        <v>240314</v>
      </c>
      <c r="B1493" s="119" t="s">
        <v>1086</v>
      </c>
      <c r="C1493" s="103" t="s">
        <v>3328</v>
      </c>
      <c r="D1493" s="111" t="s">
        <v>2179</v>
      </c>
      <c r="E1493" s="95">
        <v>10403</v>
      </c>
      <c r="F1493" s="35">
        <v>0</v>
      </c>
    </row>
    <row r="1494" spans="1:6" s="4" customFormat="1" ht="12">
      <c r="A1494" s="106">
        <v>240314</v>
      </c>
      <c r="B1494" s="119" t="s">
        <v>1086</v>
      </c>
      <c r="C1494" s="103" t="s">
        <v>3341</v>
      </c>
      <c r="D1494" s="111" t="s">
        <v>2180</v>
      </c>
      <c r="E1494" s="95">
        <v>24058</v>
      </c>
      <c r="F1494" s="35">
        <v>0</v>
      </c>
    </row>
    <row r="1495" spans="1:6" s="4" customFormat="1" ht="12">
      <c r="A1495" s="106">
        <v>240314</v>
      </c>
      <c r="B1495" s="119" t="s">
        <v>1086</v>
      </c>
      <c r="C1495" s="103" t="s">
        <v>1016</v>
      </c>
      <c r="D1495" s="111" t="s">
        <v>2181</v>
      </c>
      <c r="E1495" s="95">
        <v>9266</v>
      </c>
      <c r="F1495" s="35">
        <v>0</v>
      </c>
    </row>
    <row r="1496" spans="1:6" s="4" customFormat="1" ht="12">
      <c r="A1496" s="106">
        <v>240314</v>
      </c>
      <c r="B1496" s="119" t="s">
        <v>1086</v>
      </c>
      <c r="C1496" s="103" t="s">
        <v>1028</v>
      </c>
      <c r="D1496" s="111" t="s">
        <v>2182</v>
      </c>
      <c r="E1496" s="95">
        <v>10687</v>
      </c>
      <c r="F1496" s="35">
        <v>0</v>
      </c>
    </row>
    <row r="1497" spans="1:6" s="4" customFormat="1" ht="12">
      <c r="A1497" s="106">
        <v>240314</v>
      </c>
      <c r="B1497" s="119" t="s">
        <v>1086</v>
      </c>
      <c r="C1497" s="106" t="s">
        <v>700</v>
      </c>
      <c r="D1497" s="111" t="s">
        <v>2183</v>
      </c>
      <c r="E1497" s="95">
        <v>165156</v>
      </c>
      <c r="F1497" s="35">
        <v>0</v>
      </c>
    </row>
    <row r="1498" spans="1:6" s="4" customFormat="1" ht="12">
      <c r="A1498" s="106">
        <v>240314</v>
      </c>
      <c r="B1498" s="119" t="s">
        <v>1086</v>
      </c>
      <c r="C1498" s="106" t="s">
        <v>2184</v>
      </c>
      <c r="D1498" s="111" t="s">
        <v>1576</v>
      </c>
      <c r="E1498" s="95">
        <v>15493</v>
      </c>
      <c r="F1498" s="35">
        <v>0</v>
      </c>
    </row>
    <row r="1499" spans="1:6" s="4" customFormat="1" ht="12">
      <c r="A1499" s="106">
        <v>240314</v>
      </c>
      <c r="B1499" s="119" t="s">
        <v>1086</v>
      </c>
      <c r="C1499" s="106" t="s">
        <v>2185</v>
      </c>
      <c r="D1499" s="111" t="s">
        <v>2186</v>
      </c>
      <c r="E1499" s="95">
        <v>32403</v>
      </c>
      <c r="F1499" s="35">
        <v>0</v>
      </c>
    </row>
    <row r="1500" spans="1:6" s="4" customFormat="1" ht="12">
      <c r="A1500" s="106">
        <v>240314</v>
      </c>
      <c r="B1500" s="119" t="s">
        <v>1086</v>
      </c>
      <c r="C1500" s="103" t="s">
        <v>2187</v>
      </c>
      <c r="D1500" s="111" t="s">
        <v>2188</v>
      </c>
      <c r="E1500" s="95">
        <v>30394</v>
      </c>
      <c r="F1500" s="35">
        <v>0</v>
      </c>
    </row>
    <row r="1501" spans="1:6" s="4" customFormat="1" ht="12">
      <c r="A1501" s="106">
        <v>240314</v>
      </c>
      <c r="B1501" s="119" t="s">
        <v>1086</v>
      </c>
      <c r="C1501" s="106" t="s">
        <v>2189</v>
      </c>
      <c r="D1501" s="111" t="s">
        <v>2190</v>
      </c>
      <c r="E1501" s="95">
        <v>9677</v>
      </c>
      <c r="F1501" s="35">
        <v>0</v>
      </c>
    </row>
    <row r="1502" spans="1:6" s="4" customFormat="1" ht="12">
      <c r="A1502" s="106">
        <v>240314</v>
      </c>
      <c r="B1502" s="119" t="s">
        <v>1086</v>
      </c>
      <c r="C1502" s="106" t="s">
        <v>2191</v>
      </c>
      <c r="D1502" s="111" t="s">
        <v>2192</v>
      </c>
      <c r="E1502" s="95">
        <v>6335</v>
      </c>
      <c r="F1502" s="35">
        <v>0</v>
      </c>
    </row>
    <row r="1503" spans="1:6" s="4" customFormat="1" ht="12">
      <c r="A1503" s="106">
        <v>240314</v>
      </c>
      <c r="B1503" s="119" t="s">
        <v>1086</v>
      </c>
      <c r="C1503" s="106" t="s">
        <v>2193</v>
      </c>
      <c r="D1503" s="111" t="s">
        <v>2194</v>
      </c>
      <c r="E1503" s="95">
        <v>42951</v>
      </c>
      <c r="F1503" s="35">
        <v>0</v>
      </c>
    </row>
    <row r="1504" spans="1:6" s="4" customFormat="1" ht="12">
      <c r="A1504" s="106">
        <v>240314</v>
      </c>
      <c r="B1504" s="119" t="s">
        <v>1086</v>
      </c>
      <c r="C1504" s="106" t="s">
        <v>2195</v>
      </c>
      <c r="D1504" s="111" t="s">
        <v>2196</v>
      </c>
      <c r="E1504" s="95">
        <v>14782</v>
      </c>
      <c r="F1504" s="35">
        <v>0</v>
      </c>
    </row>
    <row r="1505" spans="1:6" s="4" customFormat="1" ht="12">
      <c r="A1505" s="106">
        <v>240314</v>
      </c>
      <c r="B1505" s="119" t="s">
        <v>1086</v>
      </c>
      <c r="C1505" s="106" t="s">
        <v>2197</v>
      </c>
      <c r="D1505" s="111" t="s">
        <v>2198</v>
      </c>
      <c r="E1505" s="95">
        <v>3670</v>
      </c>
      <c r="F1505" s="35">
        <v>0</v>
      </c>
    </row>
    <row r="1506" spans="1:6" s="4" customFormat="1" ht="12">
      <c r="A1506" s="106">
        <v>240314</v>
      </c>
      <c r="B1506" s="119" t="s">
        <v>1086</v>
      </c>
      <c r="C1506" s="106" t="s">
        <v>2199</v>
      </c>
      <c r="D1506" s="111" t="s">
        <v>1920</v>
      </c>
      <c r="E1506" s="95">
        <v>98633</v>
      </c>
      <c r="F1506" s="35">
        <v>0</v>
      </c>
    </row>
    <row r="1507" spans="1:6" s="4" customFormat="1" ht="12">
      <c r="A1507" s="106">
        <v>240314</v>
      </c>
      <c r="B1507" s="119" t="s">
        <v>1086</v>
      </c>
      <c r="C1507" s="106" t="s">
        <v>2200</v>
      </c>
      <c r="D1507" s="111" t="s">
        <v>2201</v>
      </c>
      <c r="E1507" s="95">
        <v>48025</v>
      </c>
      <c r="F1507" s="35">
        <v>0</v>
      </c>
    </row>
    <row r="1508" spans="1:6" s="4" customFormat="1" ht="12">
      <c r="A1508" s="106">
        <v>240314</v>
      </c>
      <c r="B1508" s="119" t="s">
        <v>1086</v>
      </c>
      <c r="C1508" s="106" t="s">
        <v>3383</v>
      </c>
      <c r="D1508" s="111" t="s">
        <v>2202</v>
      </c>
      <c r="E1508" s="95">
        <v>118011</v>
      </c>
      <c r="F1508" s="35">
        <v>0</v>
      </c>
    </row>
    <row r="1509" spans="1:6" s="4" customFormat="1" ht="12">
      <c r="A1509" s="106">
        <v>240314</v>
      </c>
      <c r="B1509" s="119" t="s">
        <v>1086</v>
      </c>
      <c r="C1509" s="106" t="s">
        <v>2203</v>
      </c>
      <c r="D1509" s="111" t="s">
        <v>2204</v>
      </c>
      <c r="E1509" s="95">
        <v>11122</v>
      </c>
      <c r="F1509" s="35">
        <v>0</v>
      </c>
    </row>
    <row r="1510" spans="1:6" s="4" customFormat="1" ht="12">
      <c r="A1510" s="106">
        <v>240314</v>
      </c>
      <c r="B1510" s="119" t="s">
        <v>1086</v>
      </c>
      <c r="C1510" s="106" t="s">
        <v>2205</v>
      </c>
      <c r="D1510" s="111" t="s">
        <v>1423</v>
      </c>
      <c r="E1510" s="95">
        <v>26352</v>
      </c>
      <c r="F1510" s="35">
        <v>0</v>
      </c>
    </row>
    <row r="1511" spans="1:6" s="4" customFormat="1" ht="12">
      <c r="A1511" s="106">
        <v>240314</v>
      </c>
      <c r="B1511" s="119" t="s">
        <v>1086</v>
      </c>
      <c r="C1511" s="103" t="s">
        <v>266</v>
      </c>
      <c r="D1511" s="111" t="s">
        <v>2206</v>
      </c>
      <c r="E1511" s="95">
        <v>19304</v>
      </c>
      <c r="F1511" s="35">
        <v>0</v>
      </c>
    </row>
    <row r="1512" spans="1:6" s="4" customFormat="1" ht="12">
      <c r="A1512" s="106">
        <v>240314</v>
      </c>
      <c r="B1512" s="119" t="s">
        <v>1086</v>
      </c>
      <c r="C1512" s="103" t="s">
        <v>296</v>
      </c>
      <c r="D1512" s="111" t="s">
        <v>2207</v>
      </c>
      <c r="E1512" s="95">
        <v>49338</v>
      </c>
      <c r="F1512" s="35">
        <v>0</v>
      </c>
    </row>
    <row r="1513" spans="1:6" s="4" customFormat="1" ht="12">
      <c r="A1513" s="106">
        <v>240314</v>
      </c>
      <c r="B1513" s="119" t="s">
        <v>1086</v>
      </c>
      <c r="C1513" s="103" t="s">
        <v>2208</v>
      </c>
      <c r="D1513" s="111" t="s">
        <v>2209</v>
      </c>
      <c r="E1513" s="95">
        <v>52900</v>
      </c>
      <c r="F1513" s="35">
        <v>0</v>
      </c>
    </row>
    <row r="1514" spans="1:6" s="4" customFormat="1" ht="12">
      <c r="A1514" s="106">
        <v>240314</v>
      </c>
      <c r="B1514" s="119" t="s">
        <v>1086</v>
      </c>
      <c r="C1514" s="103" t="s">
        <v>2210</v>
      </c>
      <c r="D1514" s="111" t="s">
        <v>2211</v>
      </c>
      <c r="E1514" s="95">
        <v>13766</v>
      </c>
      <c r="F1514" s="35">
        <v>0</v>
      </c>
    </row>
    <row r="1515" spans="1:6" s="4" customFormat="1" ht="12">
      <c r="A1515" s="106">
        <v>240314</v>
      </c>
      <c r="B1515" s="119" t="s">
        <v>1086</v>
      </c>
      <c r="C1515" s="103" t="s">
        <v>433</v>
      </c>
      <c r="D1515" s="111" t="s">
        <v>2212</v>
      </c>
      <c r="E1515" s="95">
        <v>28458</v>
      </c>
      <c r="F1515" s="35">
        <v>0</v>
      </c>
    </row>
    <row r="1516" spans="1:6" s="4" customFormat="1" ht="12">
      <c r="A1516" s="106">
        <v>240314</v>
      </c>
      <c r="B1516" s="119" t="s">
        <v>1086</v>
      </c>
      <c r="C1516" s="103" t="s">
        <v>2213</v>
      </c>
      <c r="D1516" s="111" t="s">
        <v>1219</v>
      </c>
      <c r="E1516" s="95">
        <v>17313</v>
      </c>
      <c r="F1516" s="35">
        <v>0</v>
      </c>
    </row>
    <row r="1517" spans="1:6" s="4" customFormat="1" ht="12">
      <c r="A1517" s="106">
        <v>240314</v>
      </c>
      <c r="B1517" s="119" t="s">
        <v>1086</v>
      </c>
      <c r="C1517" s="103">
        <v>214547245</v>
      </c>
      <c r="D1517" s="111" t="s">
        <v>2214</v>
      </c>
      <c r="E1517" s="95">
        <v>114742</v>
      </c>
      <c r="F1517" s="35">
        <v>0</v>
      </c>
    </row>
    <row r="1518" spans="1:6" s="4" customFormat="1" ht="12">
      <c r="A1518" s="106">
        <v>240314</v>
      </c>
      <c r="B1518" s="119" t="s">
        <v>1086</v>
      </c>
      <c r="C1518" s="103">
        <v>215847258</v>
      </c>
      <c r="D1518" s="111" t="s">
        <v>2215</v>
      </c>
      <c r="E1518" s="95">
        <v>23532</v>
      </c>
      <c r="F1518" s="35">
        <v>0</v>
      </c>
    </row>
    <row r="1519" spans="1:6" s="4" customFormat="1" ht="12">
      <c r="A1519" s="106">
        <v>240314</v>
      </c>
      <c r="B1519" s="119" t="s">
        <v>1086</v>
      </c>
      <c r="C1519" s="103">
        <v>216847268</v>
      </c>
      <c r="D1519" s="111" t="s">
        <v>2216</v>
      </c>
      <c r="E1519" s="95">
        <v>32945</v>
      </c>
      <c r="F1519" s="35">
        <v>0</v>
      </c>
    </row>
    <row r="1520" spans="1:6" s="4" customFormat="1" ht="12">
      <c r="A1520" s="106">
        <v>240314</v>
      </c>
      <c r="B1520" s="119" t="s">
        <v>1086</v>
      </c>
      <c r="C1520" s="103">
        <v>218847288</v>
      </c>
      <c r="D1520" s="111" t="s">
        <v>2217</v>
      </c>
      <c r="E1520" s="95">
        <v>74343</v>
      </c>
      <c r="F1520" s="35">
        <v>0</v>
      </c>
    </row>
    <row r="1521" spans="1:6" s="4" customFormat="1" ht="12">
      <c r="A1521" s="106">
        <v>240314</v>
      </c>
      <c r="B1521" s="119" t="s">
        <v>1086</v>
      </c>
      <c r="C1521" s="103">
        <v>211847318</v>
      </c>
      <c r="D1521" s="111" t="s">
        <v>2218</v>
      </c>
      <c r="E1521" s="95">
        <v>52564</v>
      </c>
      <c r="F1521" s="35">
        <v>0</v>
      </c>
    </row>
    <row r="1522" spans="1:6" s="4" customFormat="1" ht="12">
      <c r="A1522" s="106">
        <v>240314</v>
      </c>
      <c r="B1522" s="119" t="s">
        <v>1086</v>
      </c>
      <c r="C1522" s="103">
        <v>216047460</v>
      </c>
      <c r="D1522" s="111" t="s">
        <v>2219</v>
      </c>
      <c r="E1522" s="95">
        <v>34230</v>
      </c>
      <c r="F1522" s="35">
        <v>0</v>
      </c>
    </row>
    <row r="1523" spans="1:6" s="4" customFormat="1" ht="12">
      <c r="A1523" s="106">
        <v>240314</v>
      </c>
      <c r="B1523" s="119" t="s">
        <v>1086</v>
      </c>
      <c r="C1523" s="103">
        <v>214147541</v>
      </c>
      <c r="D1523" s="111" t="s">
        <v>2220</v>
      </c>
      <c r="E1523" s="95">
        <v>16505</v>
      </c>
      <c r="F1523" s="35">
        <v>0</v>
      </c>
    </row>
    <row r="1524" spans="1:6" s="4" customFormat="1" ht="12">
      <c r="A1524" s="106">
        <v>240314</v>
      </c>
      <c r="B1524" s="119" t="s">
        <v>1086</v>
      </c>
      <c r="C1524" s="103">
        <v>214547545</v>
      </c>
      <c r="D1524" s="111" t="s">
        <v>2221</v>
      </c>
      <c r="E1524" s="95">
        <v>30286</v>
      </c>
      <c r="F1524" s="35">
        <v>0</v>
      </c>
    </row>
    <row r="1525" spans="1:6" s="4" customFormat="1" ht="12">
      <c r="A1525" s="106">
        <v>240314</v>
      </c>
      <c r="B1525" s="119" t="s">
        <v>1086</v>
      </c>
      <c r="C1525" s="103">
        <v>215147551</v>
      </c>
      <c r="D1525" s="111" t="s">
        <v>2222</v>
      </c>
      <c r="E1525" s="95">
        <v>63864</v>
      </c>
      <c r="F1525" s="35">
        <v>0</v>
      </c>
    </row>
    <row r="1526" spans="1:6" s="4" customFormat="1" ht="12">
      <c r="A1526" s="106">
        <v>240314</v>
      </c>
      <c r="B1526" s="119" t="s">
        <v>1086</v>
      </c>
      <c r="C1526" s="103">
        <v>215547555</v>
      </c>
      <c r="D1526" s="111" t="s">
        <v>2223</v>
      </c>
      <c r="E1526" s="95">
        <v>87881</v>
      </c>
      <c r="F1526" s="35">
        <v>0</v>
      </c>
    </row>
    <row r="1527" spans="1:6" s="4" customFormat="1" ht="12">
      <c r="A1527" s="106">
        <v>240314</v>
      </c>
      <c r="B1527" s="119" t="s">
        <v>1086</v>
      </c>
      <c r="C1527" s="103">
        <v>217047570</v>
      </c>
      <c r="D1527" s="111" t="s">
        <v>2224</v>
      </c>
      <c r="E1527" s="95">
        <v>38726</v>
      </c>
      <c r="F1527" s="35">
        <v>0</v>
      </c>
    </row>
    <row r="1528" spans="1:6" s="4" customFormat="1" ht="12">
      <c r="A1528" s="106">
        <v>240314</v>
      </c>
      <c r="B1528" s="119" t="s">
        <v>1086</v>
      </c>
      <c r="C1528" s="103">
        <v>210547605</v>
      </c>
      <c r="D1528" s="111" t="s">
        <v>2225</v>
      </c>
      <c r="E1528" s="95">
        <v>14652</v>
      </c>
      <c r="F1528" s="35">
        <v>0</v>
      </c>
    </row>
    <row r="1529" spans="1:6" s="4" customFormat="1" ht="12">
      <c r="A1529" s="106">
        <v>240314</v>
      </c>
      <c r="B1529" s="119" t="s">
        <v>1086</v>
      </c>
      <c r="C1529" s="103">
        <v>216047660</v>
      </c>
      <c r="D1529" s="111" t="s">
        <v>2226</v>
      </c>
      <c r="E1529" s="95">
        <v>22163</v>
      </c>
      <c r="F1529" s="35">
        <v>0</v>
      </c>
    </row>
    <row r="1530" spans="1:6" s="4" customFormat="1" ht="12">
      <c r="A1530" s="106">
        <v>240314</v>
      </c>
      <c r="B1530" s="119" t="s">
        <v>1086</v>
      </c>
      <c r="C1530" s="103">
        <v>217547675</v>
      </c>
      <c r="D1530" s="111" t="s">
        <v>1569</v>
      </c>
      <c r="E1530" s="95">
        <v>19021</v>
      </c>
      <c r="F1530" s="35">
        <v>0</v>
      </c>
    </row>
    <row r="1531" spans="1:6" s="4" customFormat="1" ht="12">
      <c r="A1531" s="106">
        <v>240314</v>
      </c>
      <c r="B1531" s="119" t="s">
        <v>1086</v>
      </c>
      <c r="C1531" s="103">
        <v>219247692</v>
      </c>
      <c r="D1531" s="111" t="s">
        <v>1884</v>
      </c>
      <c r="E1531" s="95">
        <v>41188</v>
      </c>
      <c r="F1531" s="35">
        <v>0</v>
      </c>
    </row>
    <row r="1532" spans="1:6" s="4" customFormat="1" ht="12">
      <c r="A1532" s="106">
        <v>240314</v>
      </c>
      <c r="B1532" s="119" t="s">
        <v>1086</v>
      </c>
      <c r="C1532" s="103">
        <v>210347703</v>
      </c>
      <c r="D1532" s="111" t="s">
        <v>2227</v>
      </c>
      <c r="E1532" s="95">
        <v>22021</v>
      </c>
      <c r="F1532" s="35">
        <v>0</v>
      </c>
    </row>
    <row r="1533" spans="1:6" s="4" customFormat="1" ht="12">
      <c r="A1533" s="106">
        <v>240314</v>
      </c>
      <c r="B1533" s="119" t="s">
        <v>1086</v>
      </c>
      <c r="C1533" s="103">
        <v>210747707</v>
      </c>
      <c r="D1533" s="111" t="s">
        <v>2228</v>
      </c>
      <c r="E1533" s="95">
        <v>41712</v>
      </c>
      <c r="F1533" s="35">
        <v>0</v>
      </c>
    </row>
    <row r="1534" spans="1:6" s="4" customFormat="1" ht="12">
      <c r="A1534" s="106">
        <v>240314</v>
      </c>
      <c r="B1534" s="119" t="s">
        <v>1086</v>
      </c>
      <c r="C1534" s="103">
        <v>212047720</v>
      </c>
      <c r="D1534" s="111" t="s">
        <v>2229</v>
      </c>
      <c r="E1534" s="95">
        <v>20892</v>
      </c>
      <c r="F1534" s="35">
        <v>0</v>
      </c>
    </row>
    <row r="1535" spans="1:6" s="4" customFormat="1" ht="12">
      <c r="A1535" s="106">
        <v>240314</v>
      </c>
      <c r="B1535" s="119" t="s">
        <v>1086</v>
      </c>
      <c r="C1535" s="103">
        <v>214547745</v>
      </c>
      <c r="D1535" s="111" t="s">
        <v>2230</v>
      </c>
      <c r="E1535" s="95">
        <v>42106</v>
      </c>
      <c r="F1535" s="35">
        <v>0</v>
      </c>
    </row>
    <row r="1536" spans="1:6" s="4" customFormat="1" ht="12">
      <c r="A1536" s="106">
        <v>240314</v>
      </c>
      <c r="B1536" s="119" t="s">
        <v>1086</v>
      </c>
      <c r="C1536" s="103">
        <v>219847798</v>
      </c>
      <c r="D1536" s="111" t="s">
        <v>2231</v>
      </c>
      <c r="E1536" s="95">
        <v>31242</v>
      </c>
      <c r="F1536" s="35">
        <v>0</v>
      </c>
    </row>
    <row r="1537" spans="1:6" s="4" customFormat="1" ht="12">
      <c r="A1537" s="106">
        <v>240314</v>
      </c>
      <c r="B1537" s="119" t="s">
        <v>1086</v>
      </c>
      <c r="C1537" s="103">
        <v>216047960</v>
      </c>
      <c r="D1537" s="111" t="s">
        <v>2232</v>
      </c>
      <c r="E1537" s="95">
        <v>15383</v>
      </c>
      <c r="F1537" s="35">
        <v>0</v>
      </c>
    </row>
    <row r="1538" spans="1:6" s="4" customFormat="1" ht="12">
      <c r="A1538" s="106">
        <v>240314</v>
      </c>
      <c r="B1538" s="119" t="s">
        <v>1086</v>
      </c>
      <c r="C1538" s="103">
        <v>218047980</v>
      </c>
      <c r="D1538" s="111" t="s">
        <v>2233</v>
      </c>
      <c r="E1538" s="95">
        <v>97589</v>
      </c>
      <c r="F1538" s="35">
        <v>0</v>
      </c>
    </row>
    <row r="1539" spans="1:6" s="4" customFormat="1" ht="12">
      <c r="A1539" s="106">
        <v>240314</v>
      </c>
      <c r="B1539" s="119" t="s">
        <v>1086</v>
      </c>
      <c r="C1539" s="103">
        <v>210650006</v>
      </c>
      <c r="D1539" s="111" t="s">
        <v>2234</v>
      </c>
      <c r="E1539" s="95">
        <v>76928</v>
      </c>
      <c r="F1539" s="35">
        <v>0</v>
      </c>
    </row>
    <row r="1540" spans="1:6" s="4" customFormat="1" ht="12">
      <c r="A1540" s="106">
        <v>240314</v>
      </c>
      <c r="B1540" s="119" t="s">
        <v>1086</v>
      </c>
      <c r="C1540" s="103">
        <v>211050110</v>
      </c>
      <c r="D1540" s="111" t="s">
        <v>2235</v>
      </c>
      <c r="E1540" s="95">
        <v>4200</v>
      </c>
      <c r="F1540" s="35">
        <v>0</v>
      </c>
    </row>
    <row r="1541" spans="1:6" s="4" customFormat="1" ht="12">
      <c r="A1541" s="106">
        <v>240314</v>
      </c>
      <c r="B1541" s="119" t="s">
        <v>1086</v>
      </c>
      <c r="C1541" s="103">
        <v>212450124</v>
      </c>
      <c r="D1541" s="111" t="s">
        <v>2236</v>
      </c>
      <c r="E1541" s="95">
        <v>4715</v>
      </c>
      <c r="F1541" s="35">
        <v>0</v>
      </c>
    </row>
    <row r="1542" spans="1:6" s="4" customFormat="1" ht="12">
      <c r="A1542" s="106">
        <v>240314</v>
      </c>
      <c r="B1542" s="119" t="s">
        <v>1086</v>
      </c>
      <c r="C1542" s="103">
        <v>215050150</v>
      </c>
      <c r="D1542" s="111" t="s">
        <v>2237</v>
      </c>
      <c r="E1542" s="95">
        <v>9636</v>
      </c>
      <c r="F1542" s="35">
        <v>0</v>
      </c>
    </row>
    <row r="1543" spans="1:6" s="4" customFormat="1" ht="12">
      <c r="A1543" s="106">
        <v>240314</v>
      </c>
      <c r="B1543" s="119" t="s">
        <v>1086</v>
      </c>
      <c r="C1543" s="103">
        <v>212350223</v>
      </c>
      <c r="D1543" s="111" t="s">
        <v>2238</v>
      </c>
      <c r="E1543" s="95">
        <v>5891</v>
      </c>
      <c r="F1543" s="35">
        <v>0</v>
      </c>
    </row>
    <row r="1544" spans="1:6" s="4" customFormat="1" ht="12">
      <c r="A1544" s="106">
        <v>240314</v>
      </c>
      <c r="B1544" s="119" t="s">
        <v>1086</v>
      </c>
      <c r="C1544" s="103">
        <v>212650226</v>
      </c>
      <c r="D1544" s="111" t="s">
        <v>2239</v>
      </c>
      <c r="E1544" s="95">
        <v>22266</v>
      </c>
      <c r="F1544" s="35">
        <v>0</v>
      </c>
    </row>
    <row r="1545" spans="1:6" s="4" customFormat="1" ht="12">
      <c r="A1545" s="106">
        <v>240314</v>
      </c>
      <c r="B1545" s="119" t="s">
        <v>1086</v>
      </c>
      <c r="C1545" s="103">
        <v>214550245</v>
      </c>
      <c r="D1545" s="111" t="s">
        <v>2240</v>
      </c>
      <c r="E1545" s="95">
        <v>3651</v>
      </c>
      <c r="F1545" s="35">
        <v>0</v>
      </c>
    </row>
    <row r="1546" spans="1:6" s="4" customFormat="1" ht="12">
      <c r="A1546" s="106">
        <v>240314</v>
      </c>
      <c r="B1546" s="119" t="s">
        <v>1086</v>
      </c>
      <c r="C1546" s="103">
        <v>215150251</v>
      </c>
      <c r="D1546" s="111" t="s">
        <v>2241</v>
      </c>
      <c r="E1546" s="95">
        <v>7367</v>
      </c>
      <c r="F1546" s="35">
        <v>0</v>
      </c>
    </row>
    <row r="1547" spans="1:6" s="4" customFormat="1" ht="12">
      <c r="A1547" s="106">
        <v>240314</v>
      </c>
      <c r="B1547" s="119" t="s">
        <v>1086</v>
      </c>
      <c r="C1547" s="103">
        <v>217050270</v>
      </c>
      <c r="D1547" s="111" t="s">
        <v>2242</v>
      </c>
      <c r="E1547" s="95">
        <v>4792</v>
      </c>
      <c r="F1547" s="35">
        <v>0</v>
      </c>
    </row>
    <row r="1548" spans="1:6" s="4" customFormat="1" ht="12">
      <c r="A1548" s="106">
        <v>240314</v>
      </c>
      <c r="B1548" s="119" t="s">
        <v>1086</v>
      </c>
      <c r="C1548" s="103">
        <v>218750287</v>
      </c>
      <c r="D1548" s="111" t="s">
        <v>2243</v>
      </c>
      <c r="E1548" s="95">
        <v>14879</v>
      </c>
      <c r="F1548" s="35">
        <v>0</v>
      </c>
    </row>
    <row r="1549" spans="1:6" s="4" customFormat="1" ht="12">
      <c r="A1549" s="106">
        <v>240314</v>
      </c>
      <c r="B1549" s="119" t="s">
        <v>1086</v>
      </c>
      <c r="C1549" s="103">
        <v>211350313</v>
      </c>
      <c r="D1549" s="111" t="s">
        <v>1234</v>
      </c>
      <c r="E1549" s="95">
        <v>63802</v>
      </c>
      <c r="F1549" s="35">
        <v>0</v>
      </c>
    </row>
    <row r="1550" spans="1:6" s="4" customFormat="1" ht="12">
      <c r="A1550" s="106">
        <v>240314</v>
      </c>
      <c r="B1550" s="119" t="s">
        <v>1086</v>
      </c>
      <c r="C1550" s="103">
        <v>211850318</v>
      </c>
      <c r="D1550" s="111" t="s">
        <v>2218</v>
      </c>
      <c r="E1550" s="95">
        <v>12589</v>
      </c>
      <c r="F1550" s="35">
        <v>0</v>
      </c>
    </row>
    <row r="1551" spans="1:6" s="4" customFormat="1" ht="12">
      <c r="A1551" s="106">
        <v>240314</v>
      </c>
      <c r="B1551" s="119" t="s">
        <v>1086</v>
      </c>
      <c r="C1551" s="103">
        <v>212550325</v>
      </c>
      <c r="D1551" s="111" t="s">
        <v>2244</v>
      </c>
      <c r="E1551" s="95">
        <v>11554</v>
      </c>
      <c r="F1551" s="35">
        <v>0</v>
      </c>
    </row>
    <row r="1552" spans="1:6" s="4" customFormat="1" ht="12">
      <c r="A1552" s="106">
        <v>240314</v>
      </c>
      <c r="B1552" s="119" t="s">
        <v>1086</v>
      </c>
      <c r="C1552" s="103">
        <v>213050330</v>
      </c>
      <c r="D1552" s="111" t="s">
        <v>2245</v>
      </c>
      <c r="E1552" s="95">
        <v>14229</v>
      </c>
      <c r="F1552" s="35">
        <v>0</v>
      </c>
    </row>
    <row r="1553" spans="1:6" s="4" customFormat="1" ht="12">
      <c r="A1553" s="106">
        <v>240314</v>
      </c>
      <c r="B1553" s="119" t="s">
        <v>1086</v>
      </c>
      <c r="C1553" s="103">
        <v>215050350</v>
      </c>
      <c r="D1553" s="111" t="s">
        <v>2246</v>
      </c>
      <c r="E1553" s="95">
        <v>27601</v>
      </c>
      <c r="F1553" s="35">
        <v>0</v>
      </c>
    </row>
    <row r="1554" spans="1:6" s="4" customFormat="1" ht="12">
      <c r="A1554" s="106">
        <v>240314</v>
      </c>
      <c r="B1554" s="119" t="s">
        <v>1086</v>
      </c>
      <c r="C1554" s="103">
        <v>217050370</v>
      </c>
      <c r="D1554" s="111" t="s">
        <v>2247</v>
      </c>
      <c r="E1554" s="95">
        <v>12772</v>
      </c>
      <c r="F1554" s="35">
        <v>0</v>
      </c>
    </row>
    <row r="1555" spans="1:6" s="4" customFormat="1" ht="12">
      <c r="A1555" s="106">
        <v>240314</v>
      </c>
      <c r="B1555" s="119" t="s">
        <v>1086</v>
      </c>
      <c r="C1555" s="103">
        <v>210050400</v>
      </c>
      <c r="D1555" s="111" t="s">
        <v>2248</v>
      </c>
      <c r="E1555" s="95">
        <v>11865</v>
      </c>
      <c r="F1555" s="35">
        <v>0</v>
      </c>
    </row>
    <row r="1556" spans="1:6" s="4" customFormat="1" ht="12">
      <c r="A1556" s="106">
        <v>240314</v>
      </c>
      <c r="B1556" s="119" t="s">
        <v>1086</v>
      </c>
      <c r="C1556" s="103">
        <v>215050450</v>
      </c>
      <c r="D1556" s="111" t="s">
        <v>2249</v>
      </c>
      <c r="E1556" s="95">
        <v>15038</v>
      </c>
      <c r="F1556" s="35">
        <v>0</v>
      </c>
    </row>
    <row r="1557" spans="1:6" s="4" customFormat="1" ht="12">
      <c r="A1557" s="106">
        <v>240314</v>
      </c>
      <c r="B1557" s="119" t="s">
        <v>1086</v>
      </c>
      <c r="C1557" s="103">
        <v>216850568</v>
      </c>
      <c r="D1557" s="111" t="s">
        <v>2250</v>
      </c>
      <c r="E1557" s="95">
        <v>24648</v>
      </c>
      <c r="F1557" s="35">
        <v>0</v>
      </c>
    </row>
    <row r="1558" spans="1:6" s="4" customFormat="1" ht="12">
      <c r="A1558" s="106">
        <v>240314</v>
      </c>
      <c r="B1558" s="119" t="s">
        <v>1086</v>
      </c>
      <c r="C1558" s="103">
        <v>217350573</v>
      </c>
      <c r="D1558" s="111" t="s">
        <v>2251</v>
      </c>
      <c r="E1558" s="95">
        <v>34619</v>
      </c>
      <c r="F1558" s="35">
        <v>0</v>
      </c>
    </row>
    <row r="1559" spans="1:6" s="4" customFormat="1" ht="12">
      <c r="A1559" s="106">
        <v>240314</v>
      </c>
      <c r="B1559" s="119" t="s">
        <v>1086</v>
      </c>
      <c r="C1559" s="103">
        <v>217750577</v>
      </c>
      <c r="D1559" s="111" t="s">
        <v>2252</v>
      </c>
      <c r="E1559" s="95">
        <v>11784</v>
      </c>
      <c r="F1559" s="35">
        <v>0</v>
      </c>
    </row>
    <row r="1560" spans="1:6" s="4" customFormat="1" ht="12">
      <c r="A1560" s="106">
        <v>240314</v>
      </c>
      <c r="B1560" s="119" t="s">
        <v>1086</v>
      </c>
      <c r="C1560" s="103">
        <v>219050590</v>
      </c>
      <c r="D1560" s="111" t="s">
        <v>1851</v>
      </c>
      <c r="E1560" s="95">
        <v>20753</v>
      </c>
      <c r="F1560" s="35">
        <v>0</v>
      </c>
    </row>
    <row r="1561" spans="1:6" s="4" customFormat="1" ht="12">
      <c r="A1561" s="106">
        <v>240314</v>
      </c>
      <c r="B1561" s="119" t="s">
        <v>1086</v>
      </c>
      <c r="C1561" s="103">
        <v>210650606</v>
      </c>
      <c r="D1561" s="111" t="s">
        <v>2253</v>
      </c>
      <c r="E1561" s="95">
        <v>14922</v>
      </c>
      <c r="F1561" s="35">
        <v>0</v>
      </c>
    </row>
    <row r="1562" spans="1:6" s="4" customFormat="1" ht="12">
      <c r="A1562" s="106">
        <v>240314</v>
      </c>
      <c r="B1562" s="119" t="s">
        <v>1086</v>
      </c>
      <c r="C1562" s="103">
        <v>218050680</v>
      </c>
      <c r="D1562" s="111" t="s">
        <v>2254</v>
      </c>
      <c r="E1562" s="95">
        <v>11282</v>
      </c>
      <c r="F1562" s="35">
        <v>0</v>
      </c>
    </row>
    <row r="1563" spans="1:6" s="4" customFormat="1" ht="12">
      <c r="A1563" s="106">
        <v>240314</v>
      </c>
      <c r="B1563" s="119" t="s">
        <v>1086</v>
      </c>
      <c r="C1563" s="103">
        <v>218350683</v>
      </c>
      <c r="D1563" s="111" t="s">
        <v>2255</v>
      </c>
      <c r="E1563" s="95">
        <v>10031</v>
      </c>
      <c r="F1563" s="35">
        <v>0</v>
      </c>
    </row>
    <row r="1564" spans="1:6" s="4" customFormat="1" ht="12">
      <c r="A1564" s="106">
        <v>240314</v>
      </c>
      <c r="B1564" s="119" t="s">
        <v>1086</v>
      </c>
      <c r="C1564" s="103">
        <v>218650686</v>
      </c>
      <c r="D1564" s="111" t="s">
        <v>2256</v>
      </c>
      <c r="E1564" s="95">
        <v>1946</v>
      </c>
      <c r="F1564" s="35">
        <v>0</v>
      </c>
    </row>
    <row r="1565" spans="1:6" s="4" customFormat="1" ht="12">
      <c r="A1565" s="106">
        <v>240314</v>
      </c>
      <c r="B1565" s="119" t="s">
        <v>1086</v>
      </c>
      <c r="C1565" s="103">
        <v>218950689</v>
      </c>
      <c r="D1565" s="111" t="s">
        <v>1934</v>
      </c>
      <c r="E1565" s="95">
        <v>25719</v>
      </c>
      <c r="F1565" s="35">
        <v>0</v>
      </c>
    </row>
    <row r="1566" spans="1:6" s="4" customFormat="1" ht="12">
      <c r="A1566" s="106">
        <v>240314</v>
      </c>
      <c r="B1566" s="119" t="s">
        <v>1086</v>
      </c>
      <c r="C1566" s="103">
        <v>211150711</v>
      </c>
      <c r="D1566" s="111" t="s">
        <v>2257</v>
      </c>
      <c r="E1566" s="95">
        <v>33542</v>
      </c>
      <c r="F1566" s="35">
        <v>0</v>
      </c>
    </row>
    <row r="1567" spans="1:6" s="4" customFormat="1" ht="12">
      <c r="A1567" s="106">
        <v>240314</v>
      </c>
      <c r="B1567" s="119" t="s">
        <v>1086</v>
      </c>
      <c r="C1567" s="103">
        <v>211952019</v>
      </c>
      <c r="D1567" s="111" t="s">
        <v>1974</v>
      </c>
      <c r="E1567" s="95">
        <v>14337</v>
      </c>
      <c r="F1567" s="35">
        <v>0</v>
      </c>
    </row>
    <row r="1568" spans="1:6" s="4" customFormat="1" ht="12">
      <c r="A1568" s="106">
        <v>240314</v>
      </c>
      <c r="B1568" s="119" t="s">
        <v>1086</v>
      </c>
      <c r="C1568" s="103">
        <v>212252022</v>
      </c>
      <c r="D1568" s="111" t="s">
        <v>2258</v>
      </c>
      <c r="E1568" s="95">
        <v>8050</v>
      </c>
      <c r="F1568" s="35">
        <v>0</v>
      </c>
    </row>
    <row r="1569" spans="1:6" s="4" customFormat="1" ht="12">
      <c r="A1569" s="106">
        <v>240314</v>
      </c>
      <c r="B1569" s="119" t="s">
        <v>1086</v>
      </c>
      <c r="C1569" s="103">
        <v>213652036</v>
      </c>
      <c r="D1569" s="111" t="s">
        <v>2259</v>
      </c>
      <c r="E1569" s="95">
        <v>11413</v>
      </c>
      <c r="F1569" s="35">
        <v>0</v>
      </c>
    </row>
    <row r="1570" spans="1:6" s="4" customFormat="1" ht="12">
      <c r="A1570" s="106">
        <v>240314</v>
      </c>
      <c r="B1570" s="119" t="s">
        <v>1086</v>
      </c>
      <c r="C1570" s="103">
        <v>215152051</v>
      </c>
      <c r="D1570" s="111" t="s">
        <v>2260</v>
      </c>
      <c r="E1570" s="95">
        <v>10775</v>
      </c>
      <c r="F1570" s="35">
        <v>0</v>
      </c>
    </row>
    <row r="1571" spans="1:6" s="4" customFormat="1" ht="12">
      <c r="A1571" s="106">
        <v>240314</v>
      </c>
      <c r="B1571" s="119" t="s">
        <v>1086</v>
      </c>
      <c r="C1571" s="103">
        <v>217952079</v>
      </c>
      <c r="D1571" s="111" t="s">
        <v>2261</v>
      </c>
      <c r="E1571" s="95">
        <v>78226</v>
      </c>
      <c r="F1571" s="35">
        <v>0</v>
      </c>
    </row>
    <row r="1572" spans="1:6" s="4" customFormat="1" ht="12">
      <c r="A1572" s="106">
        <v>240314</v>
      </c>
      <c r="B1572" s="119" t="s">
        <v>1086</v>
      </c>
      <c r="C1572" s="103">
        <v>218352083</v>
      </c>
      <c r="D1572" s="111" t="s">
        <v>1429</v>
      </c>
      <c r="E1572" s="95">
        <v>9723</v>
      </c>
      <c r="F1572" s="35">
        <v>0</v>
      </c>
    </row>
    <row r="1573" spans="1:6" s="4" customFormat="1" ht="12">
      <c r="A1573" s="106">
        <v>240314</v>
      </c>
      <c r="B1573" s="119" t="s">
        <v>1086</v>
      </c>
      <c r="C1573" s="103">
        <v>211052110</v>
      </c>
      <c r="D1573" s="111" t="s">
        <v>2262</v>
      </c>
      <c r="E1573" s="95">
        <v>26079</v>
      </c>
      <c r="F1573" s="35">
        <v>0</v>
      </c>
    </row>
    <row r="1574" spans="1:6" s="4" customFormat="1" ht="12">
      <c r="A1574" s="106">
        <v>240314</v>
      </c>
      <c r="B1574" s="119" t="s">
        <v>1086</v>
      </c>
      <c r="C1574" s="103">
        <v>210352203</v>
      </c>
      <c r="D1574" s="111" t="s">
        <v>2263</v>
      </c>
      <c r="E1574" s="95">
        <v>12429</v>
      </c>
      <c r="F1574" s="35">
        <v>0</v>
      </c>
    </row>
    <row r="1575" spans="1:6" s="4" customFormat="1" ht="12">
      <c r="A1575" s="106">
        <v>240314</v>
      </c>
      <c r="B1575" s="119" t="s">
        <v>1086</v>
      </c>
      <c r="C1575" s="103">
        <v>210752207</v>
      </c>
      <c r="D1575" s="111" t="s">
        <v>2264</v>
      </c>
      <c r="E1575" s="95">
        <v>11349</v>
      </c>
      <c r="F1575" s="35">
        <v>0</v>
      </c>
    </row>
    <row r="1576" spans="1:6" s="4" customFormat="1" ht="12">
      <c r="A1576" s="106">
        <v>240314</v>
      </c>
      <c r="B1576" s="119" t="s">
        <v>1086</v>
      </c>
      <c r="C1576" s="103">
        <v>211052210</v>
      </c>
      <c r="D1576" s="111" t="s">
        <v>2265</v>
      </c>
      <c r="E1576" s="95">
        <v>7492</v>
      </c>
      <c r="F1576" s="35">
        <v>0</v>
      </c>
    </row>
    <row r="1577" spans="1:6" s="4" customFormat="1" ht="12">
      <c r="A1577" s="106">
        <v>240314</v>
      </c>
      <c r="B1577" s="119" t="s">
        <v>1086</v>
      </c>
      <c r="C1577" s="103">
        <v>211552215</v>
      </c>
      <c r="D1577" s="111" t="s">
        <v>1096</v>
      </c>
      <c r="E1577" s="95">
        <v>20981</v>
      </c>
      <c r="F1577" s="35">
        <v>0</v>
      </c>
    </row>
    <row r="1578" spans="1:6" s="4" customFormat="1" ht="12">
      <c r="A1578" s="106">
        <v>240314</v>
      </c>
      <c r="B1578" s="119" t="s">
        <v>1086</v>
      </c>
      <c r="C1578" s="103">
        <v>212452224</v>
      </c>
      <c r="D1578" s="111" t="s">
        <v>2266</v>
      </c>
      <c r="E1578" s="95">
        <v>9205</v>
      </c>
      <c r="F1578" s="35">
        <v>0</v>
      </c>
    </row>
    <row r="1579" spans="1:6" s="4" customFormat="1" ht="12">
      <c r="A1579" s="106">
        <v>240314</v>
      </c>
      <c r="B1579" s="119" t="s">
        <v>1086</v>
      </c>
      <c r="C1579" s="103">
        <v>212752227</v>
      </c>
      <c r="D1579" s="111" t="s">
        <v>2267</v>
      </c>
      <c r="E1579" s="95">
        <v>47328</v>
      </c>
      <c r="F1579" s="35">
        <v>0</v>
      </c>
    </row>
    <row r="1580" spans="1:6" s="4" customFormat="1" ht="12">
      <c r="A1580" s="106">
        <v>240314</v>
      </c>
      <c r="B1580" s="119" t="s">
        <v>1086</v>
      </c>
      <c r="C1580" s="103">
        <v>213352233</v>
      </c>
      <c r="D1580" s="111" t="s">
        <v>2268</v>
      </c>
      <c r="E1580" s="95">
        <v>11282</v>
      </c>
      <c r="F1580" s="35">
        <v>0</v>
      </c>
    </row>
    <row r="1581" spans="1:6" s="4" customFormat="1" ht="12">
      <c r="A1581" s="106">
        <v>240314</v>
      </c>
      <c r="B1581" s="119" t="s">
        <v>1086</v>
      </c>
      <c r="C1581" s="103">
        <v>214052240</v>
      </c>
      <c r="D1581" s="111" t="s">
        <v>2269</v>
      </c>
      <c r="E1581" s="95">
        <v>13640</v>
      </c>
      <c r="F1581" s="35">
        <v>0</v>
      </c>
    </row>
    <row r="1582" spans="1:6" s="4" customFormat="1" ht="12">
      <c r="A1582" s="106">
        <v>240314</v>
      </c>
      <c r="B1582" s="119" t="s">
        <v>1086</v>
      </c>
      <c r="C1582" s="103">
        <v>215052250</v>
      </c>
      <c r="D1582" s="111" t="s">
        <v>2270</v>
      </c>
      <c r="E1582" s="95">
        <v>56491</v>
      </c>
      <c r="F1582" s="35">
        <v>0</v>
      </c>
    </row>
    <row r="1583" spans="1:6" s="4" customFormat="1" ht="12">
      <c r="A1583" s="106">
        <v>240314</v>
      </c>
      <c r="B1583" s="119" t="s">
        <v>1086</v>
      </c>
      <c r="C1583" s="103">
        <v>215452254</v>
      </c>
      <c r="D1583" s="111" t="s">
        <v>2271</v>
      </c>
      <c r="E1583" s="95">
        <v>8371</v>
      </c>
      <c r="F1583" s="35">
        <v>0</v>
      </c>
    </row>
    <row r="1584" spans="1:6" s="4" customFormat="1" ht="12">
      <c r="A1584" s="106">
        <v>240314</v>
      </c>
      <c r="B1584" s="119" t="s">
        <v>1086</v>
      </c>
      <c r="C1584" s="103">
        <v>215652256</v>
      </c>
      <c r="D1584" s="111" t="s">
        <v>2272</v>
      </c>
      <c r="E1584" s="95">
        <v>16279</v>
      </c>
      <c r="F1584" s="35">
        <v>0</v>
      </c>
    </row>
    <row r="1585" spans="1:6" s="4" customFormat="1" ht="12">
      <c r="A1585" s="106">
        <v>240314</v>
      </c>
      <c r="B1585" s="119" t="s">
        <v>1086</v>
      </c>
      <c r="C1585" s="103">
        <v>215852258</v>
      </c>
      <c r="D1585" s="111" t="s">
        <v>2273</v>
      </c>
      <c r="E1585" s="95">
        <v>21142</v>
      </c>
      <c r="F1585" s="35">
        <v>0</v>
      </c>
    </row>
    <row r="1586" spans="1:6" s="4" customFormat="1" ht="12">
      <c r="A1586" s="106">
        <v>240314</v>
      </c>
      <c r="B1586" s="119" t="s">
        <v>1086</v>
      </c>
      <c r="C1586" s="103">
        <v>216052260</v>
      </c>
      <c r="D1586" s="111" t="s">
        <v>1868</v>
      </c>
      <c r="E1586" s="95">
        <v>19545</v>
      </c>
      <c r="F1586" s="35">
        <v>0</v>
      </c>
    </row>
    <row r="1587" spans="1:6" s="4" customFormat="1" ht="12">
      <c r="A1587" s="106">
        <v>240314</v>
      </c>
      <c r="B1587" s="119" t="s">
        <v>1086</v>
      </c>
      <c r="C1587" s="103">
        <v>218752287</v>
      </c>
      <c r="D1587" s="111" t="s">
        <v>2274</v>
      </c>
      <c r="E1587" s="95">
        <v>8206</v>
      </c>
      <c r="F1587" s="35">
        <v>0</v>
      </c>
    </row>
    <row r="1588" spans="1:6" s="4" customFormat="1" ht="12">
      <c r="A1588" s="106">
        <v>240314</v>
      </c>
      <c r="B1588" s="119" t="s">
        <v>1086</v>
      </c>
      <c r="C1588" s="103">
        <v>211752317</v>
      </c>
      <c r="D1588" s="111" t="s">
        <v>2275</v>
      </c>
      <c r="E1588" s="95">
        <v>24410</v>
      </c>
      <c r="F1588" s="35">
        <v>0</v>
      </c>
    </row>
    <row r="1589" spans="1:6" s="4" customFormat="1" ht="12">
      <c r="A1589" s="106">
        <v>240314</v>
      </c>
      <c r="B1589" s="119" t="s">
        <v>1086</v>
      </c>
      <c r="C1589" s="103">
        <v>212052320</v>
      </c>
      <c r="D1589" s="111" t="s">
        <v>2276</v>
      </c>
      <c r="E1589" s="95">
        <v>18537</v>
      </c>
      <c r="F1589" s="35">
        <v>0</v>
      </c>
    </row>
    <row r="1590" spans="1:6" s="4" customFormat="1" ht="12">
      <c r="A1590" s="106">
        <v>240314</v>
      </c>
      <c r="B1590" s="119" t="s">
        <v>1086</v>
      </c>
      <c r="C1590" s="103">
        <v>212352323</v>
      </c>
      <c r="D1590" s="111" t="s">
        <v>2277</v>
      </c>
      <c r="E1590" s="95">
        <v>7765</v>
      </c>
      <c r="F1590" s="35">
        <v>0</v>
      </c>
    </row>
    <row r="1591" spans="1:6" s="4" customFormat="1" ht="12">
      <c r="A1591" s="106">
        <v>240314</v>
      </c>
      <c r="B1591" s="119" t="s">
        <v>1086</v>
      </c>
      <c r="C1591" s="103">
        <v>215252352</v>
      </c>
      <c r="D1591" s="111" t="s">
        <v>2278</v>
      </c>
      <c r="E1591" s="95">
        <v>9194</v>
      </c>
      <c r="F1591" s="35">
        <v>0</v>
      </c>
    </row>
    <row r="1592" spans="1:6" s="4" customFormat="1" ht="12">
      <c r="A1592" s="106">
        <v>240314</v>
      </c>
      <c r="B1592" s="119" t="s">
        <v>1086</v>
      </c>
      <c r="C1592" s="103">
        <v>215452354</v>
      </c>
      <c r="D1592" s="111" t="s">
        <v>2279</v>
      </c>
      <c r="E1592" s="95">
        <v>10639</v>
      </c>
      <c r="F1592" s="35">
        <v>0</v>
      </c>
    </row>
    <row r="1593" spans="1:6" s="4" customFormat="1" ht="12">
      <c r="A1593" s="106">
        <v>240314</v>
      </c>
      <c r="B1593" s="119" t="s">
        <v>1086</v>
      </c>
      <c r="C1593" s="103">
        <v>215652356</v>
      </c>
      <c r="D1593" s="111" t="s">
        <v>2280</v>
      </c>
      <c r="E1593" s="95">
        <v>112891</v>
      </c>
      <c r="F1593" s="35">
        <v>0</v>
      </c>
    </row>
    <row r="1594" spans="1:6" s="4" customFormat="1" ht="12">
      <c r="A1594" s="106">
        <v>240314</v>
      </c>
      <c r="B1594" s="119" t="s">
        <v>1086</v>
      </c>
      <c r="C1594" s="103">
        <v>217852378</v>
      </c>
      <c r="D1594" s="111" t="s">
        <v>2281</v>
      </c>
      <c r="E1594" s="95">
        <v>23329</v>
      </c>
      <c r="F1594" s="35">
        <v>0</v>
      </c>
    </row>
    <row r="1595" spans="1:6" s="4" customFormat="1" ht="12">
      <c r="A1595" s="106">
        <v>240314</v>
      </c>
      <c r="B1595" s="119" t="s">
        <v>1086</v>
      </c>
      <c r="C1595" s="103">
        <v>218152381</v>
      </c>
      <c r="D1595" s="111" t="s">
        <v>2282</v>
      </c>
      <c r="E1595" s="95">
        <v>15934</v>
      </c>
      <c r="F1595" s="35">
        <v>0</v>
      </c>
    </row>
    <row r="1596" spans="1:6" s="4" customFormat="1" ht="12">
      <c r="A1596" s="106">
        <v>240314</v>
      </c>
      <c r="B1596" s="119" t="s">
        <v>1086</v>
      </c>
      <c r="C1596" s="103">
        <v>218552385</v>
      </c>
      <c r="D1596" s="111" t="s">
        <v>2283</v>
      </c>
      <c r="E1596" s="95">
        <v>7499</v>
      </c>
      <c r="F1596" s="35">
        <v>0</v>
      </c>
    </row>
    <row r="1597" spans="1:6" s="4" customFormat="1" ht="12">
      <c r="A1597" s="106">
        <v>240314</v>
      </c>
      <c r="B1597" s="119" t="s">
        <v>1086</v>
      </c>
      <c r="C1597" s="103">
        <v>219052390</v>
      </c>
      <c r="D1597" s="111" t="s">
        <v>2284</v>
      </c>
      <c r="E1597" s="95">
        <v>22443</v>
      </c>
      <c r="F1597" s="35">
        <v>0</v>
      </c>
    </row>
    <row r="1598" spans="1:6" s="4" customFormat="1" ht="12">
      <c r="A1598" s="106">
        <v>240314</v>
      </c>
      <c r="B1598" s="119" t="s">
        <v>1086</v>
      </c>
      <c r="C1598" s="103">
        <v>219952399</v>
      </c>
      <c r="D1598" s="111" t="s">
        <v>1250</v>
      </c>
      <c r="E1598" s="95">
        <v>29714</v>
      </c>
      <c r="F1598" s="35">
        <v>0</v>
      </c>
    </row>
    <row r="1599" spans="1:6" s="4" customFormat="1" ht="12">
      <c r="A1599" s="106">
        <v>240314</v>
      </c>
      <c r="B1599" s="119" t="s">
        <v>1086</v>
      </c>
      <c r="C1599" s="103">
        <v>210552405</v>
      </c>
      <c r="D1599" s="111" t="s">
        <v>2285</v>
      </c>
      <c r="E1599" s="95">
        <v>13732</v>
      </c>
      <c r="F1599" s="35">
        <v>0</v>
      </c>
    </row>
    <row r="1600" spans="1:6" s="4" customFormat="1" ht="12">
      <c r="A1600" s="106">
        <v>240314</v>
      </c>
      <c r="B1600" s="119" t="s">
        <v>1086</v>
      </c>
      <c r="C1600" s="103">
        <v>211152411</v>
      </c>
      <c r="D1600" s="111" t="s">
        <v>2286</v>
      </c>
      <c r="E1600" s="95">
        <v>15119</v>
      </c>
      <c r="F1600" s="35">
        <v>0</v>
      </c>
    </row>
    <row r="1601" spans="1:6" s="4" customFormat="1" ht="12">
      <c r="A1601" s="106">
        <v>240314</v>
      </c>
      <c r="B1601" s="119" t="s">
        <v>1086</v>
      </c>
      <c r="C1601" s="103">
        <v>211852418</v>
      </c>
      <c r="D1601" s="111" t="s">
        <v>2287</v>
      </c>
      <c r="E1601" s="95">
        <v>15982</v>
      </c>
      <c r="F1601" s="35">
        <v>0</v>
      </c>
    </row>
    <row r="1602" spans="1:6" s="4" customFormat="1" ht="12">
      <c r="A1602" s="106">
        <v>240314</v>
      </c>
      <c r="B1602" s="119" t="s">
        <v>1086</v>
      </c>
      <c r="C1602" s="103">
        <v>212752427</v>
      </c>
      <c r="D1602" s="111" t="s">
        <v>2288</v>
      </c>
      <c r="E1602" s="95">
        <v>29333</v>
      </c>
      <c r="F1602" s="35">
        <v>0</v>
      </c>
    </row>
    <row r="1603" spans="1:6" s="4" customFormat="1" ht="12">
      <c r="A1603" s="106">
        <v>240314</v>
      </c>
      <c r="B1603" s="119" t="s">
        <v>1086</v>
      </c>
      <c r="C1603" s="103">
        <v>213552435</v>
      </c>
      <c r="D1603" s="111" t="s">
        <v>2289</v>
      </c>
      <c r="E1603" s="95">
        <v>8974</v>
      </c>
      <c r="F1603" s="35">
        <v>0</v>
      </c>
    </row>
    <row r="1604" spans="1:6" s="4" customFormat="1" ht="12">
      <c r="A1604" s="106">
        <v>240314</v>
      </c>
      <c r="B1604" s="119" t="s">
        <v>1086</v>
      </c>
      <c r="C1604" s="103">
        <v>217352473</v>
      </c>
      <c r="D1604" s="111" t="s">
        <v>2034</v>
      </c>
      <c r="E1604" s="95">
        <v>20645</v>
      </c>
      <c r="F1604" s="35">
        <v>0</v>
      </c>
    </row>
    <row r="1605" spans="1:6" s="4" customFormat="1" ht="12">
      <c r="A1605" s="106">
        <v>240314</v>
      </c>
      <c r="B1605" s="119" t="s">
        <v>1086</v>
      </c>
      <c r="C1605" s="103">
        <v>218052480</v>
      </c>
      <c r="D1605" s="111" t="s">
        <v>1102</v>
      </c>
      <c r="E1605" s="95">
        <v>3415</v>
      </c>
      <c r="F1605" s="35">
        <v>0</v>
      </c>
    </row>
    <row r="1606" spans="1:6" s="4" customFormat="1" ht="12">
      <c r="A1606" s="106">
        <v>240314</v>
      </c>
      <c r="B1606" s="119" t="s">
        <v>1086</v>
      </c>
      <c r="C1606" s="103">
        <v>219052490</v>
      </c>
      <c r="D1606" s="111" t="s">
        <v>2290</v>
      </c>
      <c r="E1606" s="95">
        <v>39543</v>
      </c>
      <c r="F1606" s="35">
        <v>0</v>
      </c>
    </row>
    <row r="1607" spans="1:6" s="4" customFormat="1" ht="12">
      <c r="A1607" s="106">
        <v>240314</v>
      </c>
      <c r="B1607" s="119" t="s">
        <v>1086</v>
      </c>
      <c r="C1607" s="103">
        <v>210652506</v>
      </c>
      <c r="D1607" s="111" t="s">
        <v>2291</v>
      </c>
      <c r="E1607" s="95">
        <v>7220</v>
      </c>
      <c r="F1607" s="35">
        <v>0</v>
      </c>
    </row>
    <row r="1608" spans="1:6" s="4" customFormat="1" ht="12">
      <c r="A1608" s="106">
        <v>240314</v>
      </c>
      <c r="B1608" s="119" t="s">
        <v>1086</v>
      </c>
      <c r="C1608" s="103">
        <v>212052520</v>
      </c>
      <c r="D1608" s="111" t="s">
        <v>2292</v>
      </c>
      <c r="E1608" s="95">
        <v>14748</v>
      </c>
      <c r="F1608" s="35">
        <v>0</v>
      </c>
    </row>
    <row r="1609" spans="1:6" s="4" customFormat="1" ht="12">
      <c r="A1609" s="106">
        <v>240314</v>
      </c>
      <c r="B1609" s="119" t="s">
        <v>1086</v>
      </c>
      <c r="C1609" s="103">
        <v>214052540</v>
      </c>
      <c r="D1609" s="111" t="s">
        <v>2293</v>
      </c>
      <c r="E1609" s="95">
        <v>16893</v>
      </c>
      <c r="F1609" s="35">
        <v>0</v>
      </c>
    </row>
    <row r="1610" spans="1:6" s="4" customFormat="1" ht="12">
      <c r="A1610" s="106">
        <v>240314</v>
      </c>
      <c r="B1610" s="119" t="s">
        <v>1086</v>
      </c>
      <c r="C1610" s="103">
        <v>216052560</v>
      </c>
      <c r="D1610" s="111" t="s">
        <v>2294</v>
      </c>
      <c r="E1610" s="95">
        <v>12924</v>
      </c>
      <c r="F1610" s="35">
        <v>0</v>
      </c>
    </row>
    <row r="1611" spans="1:6" s="4" customFormat="1" ht="12">
      <c r="A1611" s="106">
        <v>240314</v>
      </c>
      <c r="B1611" s="119" t="s">
        <v>1086</v>
      </c>
      <c r="C1611" s="103">
        <v>216552565</v>
      </c>
      <c r="D1611" s="111" t="s">
        <v>2295</v>
      </c>
      <c r="E1611" s="95">
        <v>6232</v>
      </c>
      <c r="F1611" s="35">
        <v>0</v>
      </c>
    </row>
    <row r="1612" spans="1:6" s="4" customFormat="1" ht="12">
      <c r="A1612" s="106">
        <v>240314</v>
      </c>
      <c r="B1612" s="119" t="s">
        <v>1086</v>
      </c>
      <c r="C1612" s="103">
        <v>217352573</v>
      </c>
      <c r="D1612" s="111" t="s">
        <v>2296</v>
      </c>
      <c r="E1612" s="95">
        <v>11309</v>
      </c>
      <c r="F1612" s="35">
        <v>0</v>
      </c>
    </row>
    <row r="1613" spans="1:6" s="4" customFormat="1" ht="12">
      <c r="A1613" s="106">
        <v>240314</v>
      </c>
      <c r="B1613" s="119" t="s">
        <v>1086</v>
      </c>
      <c r="C1613" s="103">
        <v>218552585</v>
      </c>
      <c r="D1613" s="111" t="s">
        <v>2297</v>
      </c>
      <c r="E1613" s="95">
        <v>19082</v>
      </c>
      <c r="F1613" s="35">
        <v>0</v>
      </c>
    </row>
    <row r="1614" spans="1:6" s="4" customFormat="1" ht="12">
      <c r="A1614" s="106">
        <v>240314</v>
      </c>
      <c r="B1614" s="119" t="s">
        <v>1086</v>
      </c>
      <c r="C1614" s="103">
        <v>211252612</v>
      </c>
      <c r="D1614" s="111" t="s">
        <v>2054</v>
      </c>
      <c r="E1614" s="95">
        <v>26235</v>
      </c>
      <c r="F1614" s="35">
        <v>0</v>
      </c>
    </row>
    <row r="1615" spans="1:6" s="4" customFormat="1" ht="12">
      <c r="A1615" s="106">
        <v>240314</v>
      </c>
      <c r="B1615" s="119" t="s">
        <v>1086</v>
      </c>
      <c r="C1615" s="103">
        <v>212152621</v>
      </c>
      <c r="D1615" s="111" t="s">
        <v>2298</v>
      </c>
      <c r="E1615" s="95">
        <v>40761</v>
      </c>
      <c r="F1615" s="35">
        <v>0</v>
      </c>
    </row>
    <row r="1616" spans="1:6" s="4" customFormat="1" ht="12">
      <c r="A1616" s="106">
        <v>240314</v>
      </c>
      <c r="B1616" s="119" t="s">
        <v>1086</v>
      </c>
      <c r="C1616" s="103">
        <v>217852678</v>
      </c>
      <c r="D1616" s="111" t="s">
        <v>2299</v>
      </c>
      <c r="E1616" s="95">
        <v>43500</v>
      </c>
      <c r="F1616" s="35">
        <v>0</v>
      </c>
    </row>
    <row r="1617" spans="1:6" s="4" customFormat="1" ht="12">
      <c r="A1617" s="106">
        <v>240314</v>
      </c>
      <c r="B1617" s="119" t="s">
        <v>1086</v>
      </c>
      <c r="C1617" s="103">
        <v>218352683</v>
      </c>
      <c r="D1617" s="111" t="s">
        <v>2300</v>
      </c>
      <c r="E1617" s="95">
        <v>22781</v>
      </c>
      <c r="F1617" s="35">
        <v>0</v>
      </c>
    </row>
    <row r="1618" spans="1:6" s="4" customFormat="1" ht="12">
      <c r="A1618" s="106">
        <v>240314</v>
      </c>
      <c r="B1618" s="119" t="s">
        <v>1086</v>
      </c>
      <c r="C1618" s="103">
        <v>218552685</v>
      </c>
      <c r="D1618" s="111" t="s">
        <v>2058</v>
      </c>
      <c r="E1618" s="95">
        <v>9475</v>
      </c>
      <c r="F1618" s="35">
        <v>0</v>
      </c>
    </row>
    <row r="1619" spans="1:6" s="4" customFormat="1" ht="12">
      <c r="A1619" s="106">
        <v>240314</v>
      </c>
      <c r="B1619" s="119" t="s">
        <v>1086</v>
      </c>
      <c r="C1619" s="103">
        <v>218752687</v>
      </c>
      <c r="D1619" s="111" t="s">
        <v>2301</v>
      </c>
      <c r="E1619" s="95">
        <v>21612</v>
      </c>
      <c r="F1619" s="35">
        <v>0</v>
      </c>
    </row>
    <row r="1620" spans="1:6" s="4" customFormat="1" ht="12">
      <c r="A1620" s="106">
        <v>240314</v>
      </c>
      <c r="B1620" s="119" t="s">
        <v>1086</v>
      </c>
      <c r="C1620" s="103">
        <v>219352693</v>
      </c>
      <c r="D1620" s="111" t="s">
        <v>1408</v>
      </c>
      <c r="E1620" s="95">
        <v>18982</v>
      </c>
      <c r="F1620" s="35">
        <v>0</v>
      </c>
    </row>
    <row r="1621" spans="1:6" s="4" customFormat="1" ht="12">
      <c r="A1621" s="106">
        <v>240314</v>
      </c>
      <c r="B1621" s="119" t="s">
        <v>1086</v>
      </c>
      <c r="C1621" s="103">
        <v>219452694</v>
      </c>
      <c r="D1621" s="111" t="s">
        <v>2302</v>
      </c>
      <c r="E1621" s="95">
        <v>7681</v>
      </c>
      <c r="F1621" s="35">
        <v>0</v>
      </c>
    </row>
    <row r="1622" spans="1:6" s="4" customFormat="1" ht="12">
      <c r="A1622" s="106">
        <v>240314</v>
      </c>
      <c r="B1622" s="119" t="s">
        <v>1086</v>
      </c>
      <c r="C1622" s="103">
        <v>219652696</v>
      </c>
      <c r="D1622" s="111" t="s">
        <v>1298</v>
      </c>
      <c r="E1622" s="95">
        <v>24481</v>
      </c>
      <c r="F1622" s="35">
        <v>0</v>
      </c>
    </row>
    <row r="1623" spans="1:6" s="4" customFormat="1" ht="12">
      <c r="A1623" s="106">
        <v>240314</v>
      </c>
      <c r="B1623" s="119" t="s">
        <v>1086</v>
      </c>
      <c r="C1623" s="103">
        <v>219952699</v>
      </c>
      <c r="D1623" s="111" t="s">
        <v>2303</v>
      </c>
      <c r="E1623" s="95">
        <v>13421</v>
      </c>
      <c r="F1623" s="35">
        <v>0</v>
      </c>
    </row>
    <row r="1624" spans="1:6" s="4" customFormat="1" ht="12">
      <c r="A1624" s="106">
        <v>240314</v>
      </c>
      <c r="B1624" s="119" t="s">
        <v>1086</v>
      </c>
      <c r="C1624" s="103">
        <v>212052720</v>
      </c>
      <c r="D1624" s="111" t="s">
        <v>2304</v>
      </c>
      <c r="E1624" s="95">
        <v>7148</v>
      </c>
      <c r="F1624" s="35">
        <v>0</v>
      </c>
    </row>
    <row r="1625" spans="1:6" s="4" customFormat="1" ht="12">
      <c r="A1625" s="106">
        <v>240314</v>
      </c>
      <c r="B1625" s="119" t="s">
        <v>1086</v>
      </c>
      <c r="C1625" s="103">
        <v>218652786</v>
      </c>
      <c r="D1625" s="111" t="s">
        <v>2305</v>
      </c>
      <c r="E1625" s="95">
        <v>21007</v>
      </c>
      <c r="F1625" s="35">
        <v>0</v>
      </c>
    </row>
    <row r="1626" spans="1:6" s="4" customFormat="1" ht="12">
      <c r="A1626" s="106">
        <v>240314</v>
      </c>
      <c r="B1626" s="119" t="s">
        <v>1086</v>
      </c>
      <c r="C1626" s="103">
        <v>218852788</v>
      </c>
      <c r="D1626" s="111" t="s">
        <v>2306</v>
      </c>
      <c r="E1626" s="95">
        <v>11408</v>
      </c>
      <c r="F1626" s="35">
        <v>0</v>
      </c>
    </row>
    <row r="1627" spans="1:6" s="4" customFormat="1" ht="12">
      <c r="A1627" s="106">
        <v>240314</v>
      </c>
      <c r="B1627" s="119" t="s">
        <v>1086</v>
      </c>
      <c r="C1627" s="103">
        <v>213852838</v>
      </c>
      <c r="D1627" s="111" t="s">
        <v>2307</v>
      </c>
      <c r="E1627" s="95">
        <v>53308</v>
      </c>
      <c r="F1627" s="35">
        <v>0</v>
      </c>
    </row>
    <row r="1628" spans="1:6" s="4" customFormat="1" ht="12">
      <c r="A1628" s="106">
        <v>240314</v>
      </c>
      <c r="B1628" s="119" t="s">
        <v>1086</v>
      </c>
      <c r="C1628" s="103">
        <v>218552885</v>
      </c>
      <c r="D1628" s="111" t="s">
        <v>2308</v>
      </c>
      <c r="E1628" s="95">
        <v>10849</v>
      </c>
      <c r="F1628" s="35">
        <v>0</v>
      </c>
    </row>
    <row r="1629" spans="1:6" s="4" customFormat="1" ht="12">
      <c r="A1629" s="106">
        <v>240314</v>
      </c>
      <c r="B1629" s="119" t="s">
        <v>1086</v>
      </c>
      <c r="C1629" s="103">
        <v>210354003</v>
      </c>
      <c r="D1629" s="111" t="s">
        <v>2309</v>
      </c>
      <c r="E1629" s="95">
        <v>47186</v>
      </c>
      <c r="F1629" s="35">
        <v>0</v>
      </c>
    </row>
    <row r="1630" spans="1:6" s="4" customFormat="1" ht="12">
      <c r="A1630" s="106">
        <v>240314</v>
      </c>
      <c r="B1630" s="119" t="s">
        <v>1086</v>
      </c>
      <c r="C1630" s="103">
        <v>215154051</v>
      </c>
      <c r="D1630" s="111" t="s">
        <v>2310</v>
      </c>
      <c r="E1630" s="95">
        <v>12439</v>
      </c>
      <c r="F1630" s="35">
        <v>0</v>
      </c>
    </row>
    <row r="1631" spans="1:6" s="4" customFormat="1" ht="12">
      <c r="A1631" s="106">
        <v>240314</v>
      </c>
      <c r="B1631" s="119" t="s">
        <v>1086</v>
      </c>
      <c r="C1631" s="103">
        <v>219954099</v>
      </c>
      <c r="D1631" s="111" t="s">
        <v>2311</v>
      </c>
      <c r="E1631" s="95">
        <v>9528</v>
      </c>
      <c r="F1631" s="35">
        <v>0</v>
      </c>
    </row>
    <row r="1632" spans="1:6" s="4" customFormat="1" ht="12">
      <c r="A1632" s="106">
        <v>240314</v>
      </c>
      <c r="B1632" s="119" t="s">
        <v>1086</v>
      </c>
      <c r="C1632" s="103">
        <v>210954109</v>
      </c>
      <c r="D1632" s="111" t="s">
        <v>2312</v>
      </c>
      <c r="E1632" s="95">
        <v>9246</v>
      </c>
      <c r="F1632" s="35">
        <v>0</v>
      </c>
    </row>
    <row r="1633" spans="1:6" s="4" customFormat="1" ht="12">
      <c r="A1633" s="106">
        <v>240314</v>
      </c>
      <c r="B1633" s="119" t="s">
        <v>1086</v>
      </c>
      <c r="C1633" s="103">
        <v>212554125</v>
      </c>
      <c r="D1633" s="111" t="s">
        <v>2313</v>
      </c>
      <c r="E1633" s="95">
        <v>3245</v>
      </c>
      <c r="F1633" s="35">
        <v>0</v>
      </c>
    </row>
    <row r="1634" spans="1:6" s="4" customFormat="1" ht="12">
      <c r="A1634" s="106">
        <v>240314</v>
      </c>
      <c r="B1634" s="119" t="s">
        <v>1086</v>
      </c>
      <c r="C1634" s="103">
        <v>212854128</v>
      </c>
      <c r="D1634" s="111" t="s">
        <v>2314</v>
      </c>
      <c r="E1634" s="95">
        <v>14633</v>
      </c>
      <c r="F1634" s="35">
        <v>0</v>
      </c>
    </row>
    <row r="1635" spans="1:6" s="4" customFormat="1" ht="12">
      <c r="A1635" s="106">
        <v>240314</v>
      </c>
      <c r="B1635" s="119" t="s">
        <v>1086</v>
      </c>
      <c r="C1635" s="103">
        <v>217254172</v>
      </c>
      <c r="D1635" s="111" t="s">
        <v>2315</v>
      </c>
      <c r="E1635" s="95">
        <v>16493</v>
      </c>
      <c r="F1635" s="35">
        <v>0</v>
      </c>
    </row>
    <row r="1636" spans="1:6" s="4" customFormat="1" ht="12">
      <c r="A1636" s="106">
        <v>240314</v>
      </c>
      <c r="B1636" s="119" t="s">
        <v>1086</v>
      </c>
      <c r="C1636" s="103">
        <v>217454174</v>
      </c>
      <c r="D1636" s="111" t="s">
        <v>2316</v>
      </c>
      <c r="E1636" s="95">
        <v>11666</v>
      </c>
      <c r="F1636" s="35">
        <v>0</v>
      </c>
    </row>
    <row r="1637" spans="1:6" s="4" customFormat="1" ht="12">
      <c r="A1637" s="106">
        <v>240314</v>
      </c>
      <c r="B1637" s="119" t="s">
        <v>1086</v>
      </c>
      <c r="C1637" s="103">
        <v>210654206</v>
      </c>
      <c r="D1637" s="111" t="s">
        <v>2317</v>
      </c>
      <c r="E1637" s="95">
        <v>24205</v>
      </c>
      <c r="F1637" s="35">
        <v>0</v>
      </c>
    </row>
    <row r="1638" spans="1:6" s="4" customFormat="1" ht="12">
      <c r="A1638" s="106">
        <v>240314</v>
      </c>
      <c r="B1638" s="119" t="s">
        <v>1086</v>
      </c>
      <c r="C1638" s="103">
        <v>212354223</v>
      </c>
      <c r="D1638" s="111" t="s">
        <v>2318</v>
      </c>
      <c r="E1638" s="95">
        <v>12077</v>
      </c>
      <c r="F1638" s="35">
        <v>0</v>
      </c>
    </row>
    <row r="1639" spans="1:6" s="4" customFormat="1" ht="12">
      <c r="A1639" s="106">
        <v>240314</v>
      </c>
      <c r="B1639" s="119" t="s">
        <v>1086</v>
      </c>
      <c r="C1639" s="103">
        <v>213954239</v>
      </c>
      <c r="D1639" s="111" t="s">
        <v>2319</v>
      </c>
      <c r="E1639" s="95">
        <v>5269</v>
      </c>
      <c r="F1639" s="35">
        <v>0</v>
      </c>
    </row>
    <row r="1640" spans="1:6" s="4" customFormat="1" ht="12">
      <c r="A1640" s="106">
        <v>240314</v>
      </c>
      <c r="B1640" s="119" t="s">
        <v>1086</v>
      </c>
      <c r="C1640" s="103">
        <v>214554245</v>
      </c>
      <c r="D1640" s="111" t="s">
        <v>2121</v>
      </c>
      <c r="E1640" s="95">
        <v>20039</v>
      </c>
      <c r="F1640" s="35">
        <v>0</v>
      </c>
    </row>
    <row r="1641" spans="1:6" s="4" customFormat="1" ht="12">
      <c r="A1641" s="106">
        <v>240314</v>
      </c>
      <c r="B1641" s="119" t="s">
        <v>1086</v>
      </c>
      <c r="C1641" s="103">
        <v>215054250</v>
      </c>
      <c r="D1641" s="111" t="s">
        <v>2320</v>
      </c>
      <c r="E1641" s="95">
        <v>17674</v>
      </c>
      <c r="F1641" s="35">
        <v>0</v>
      </c>
    </row>
    <row r="1642" spans="1:6" s="4" customFormat="1" ht="12">
      <c r="A1642" s="106">
        <v>240314</v>
      </c>
      <c r="B1642" s="119" t="s">
        <v>1086</v>
      </c>
      <c r="C1642" s="103">
        <v>216154261</v>
      </c>
      <c r="D1642" s="111" t="s">
        <v>2321</v>
      </c>
      <c r="E1642" s="95">
        <v>25659</v>
      </c>
      <c r="F1642" s="35">
        <v>0</v>
      </c>
    </row>
    <row r="1643" spans="1:6" s="4" customFormat="1" ht="12">
      <c r="A1643" s="106">
        <v>240314</v>
      </c>
      <c r="B1643" s="119" t="s">
        <v>1086</v>
      </c>
      <c r="C1643" s="103">
        <v>211354313</v>
      </c>
      <c r="D1643" s="111" t="s">
        <v>2322</v>
      </c>
      <c r="E1643" s="95">
        <v>8988</v>
      </c>
      <c r="F1643" s="35">
        <v>0</v>
      </c>
    </row>
    <row r="1644" spans="1:6" s="4" customFormat="1" ht="12">
      <c r="A1644" s="106">
        <v>240314</v>
      </c>
      <c r="B1644" s="119" t="s">
        <v>1086</v>
      </c>
      <c r="C1644" s="103">
        <v>214454344</v>
      </c>
      <c r="D1644" s="111" t="s">
        <v>2323</v>
      </c>
      <c r="E1644" s="95">
        <v>18590</v>
      </c>
      <c r="F1644" s="35">
        <v>0</v>
      </c>
    </row>
    <row r="1645" spans="1:6" s="4" customFormat="1" ht="12">
      <c r="A1645" s="106">
        <v>240314</v>
      </c>
      <c r="B1645" s="119" t="s">
        <v>1086</v>
      </c>
      <c r="C1645" s="103">
        <v>214754347</v>
      </c>
      <c r="D1645" s="111" t="s">
        <v>2324</v>
      </c>
      <c r="E1645" s="95">
        <v>2949</v>
      </c>
      <c r="F1645" s="35">
        <v>0</v>
      </c>
    </row>
    <row r="1646" spans="1:6" s="4" customFormat="1" ht="12">
      <c r="A1646" s="106">
        <v>240314</v>
      </c>
      <c r="B1646" s="119" t="s">
        <v>1086</v>
      </c>
      <c r="C1646" s="103">
        <v>217754377</v>
      </c>
      <c r="D1646" s="111" t="s">
        <v>2325</v>
      </c>
      <c r="E1646" s="95">
        <v>7266</v>
      </c>
      <c r="F1646" s="35">
        <v>0</v>
      </c>
    </row>
    <row r="1647" spans="1:6" s="4" customFormat="1" ht="12">
      <c r="A1647" s="106">
        <v>240314</v>
      </c>
      <c r="B1647" s="119" t="s">
        <v>1086</v>
      </c>
      <c r="C1647" s="103">
        <v>218554385</v>
      </c>
      <c r="D1647" s="111" t="s">
        <v>2326</v>
      </c>
      <c r="E1647" s="95">
        <v>16308</v>
      </c>
      <c r="F1647" s="35">
        <v>0</v>
      </c>
    </row>
    <row r="1648" spans="1:6" s="4" customFormat="1" ht="12">
      <c r="A1648" s="106">
        <v>240314</v>
      </c>
      <c r="B1648" s="119" t="s">
        <v>1086</v>
      </c>
      <c r="C1648" s="103">
        <v>219854398</v>
      </c>
      <c r="D1648" s="111" t="s">
        <v>2327</v>
      </c>
      <c r="E1648" s="95">
        <v>11233</v>
      </c>
      <c r="F1648" s="35">
        <v>0</v>
      </c>
    </row>
    <row r="1649" spans="1:6" s="4" customFormat="1" ht="12">
      <c r="A1649" s="106">
        <v>240314</v>
      </c>
      <c r="B1649" s="119" t="s">
        <v>1086</v>
      </c>
      <c r="C1649" s="103">
        <v>210554405</v>
      </c>
      <c r="D1649" s="111" t="s">
        <v>2328</v>
      </c>
      <c r="E1649" s="95">
        <v>56972</v>
      </c>
      <c r="F1649" s="35">
        <v>0</v>
      </c>
    </row>
    <row r="1650" spans="1:6" s="4" customFormat="1" ht="12">
      <c r="A1650" s="106">
        <v>240314</v>
      </c>
      <c r="B1650" s="119" t="s">
        <v>1086</v>
      </c>
      <c r="C1650" s="103">
        <v>211854418</v>
      </c>
      <c r="D1650" s="111" t="s">
        <v>2329</v>
      </c>
      <c r="E1650" s="95">
        <v>4199</v>
      </c>
      <c r="F1650" s="35">
        <v>0</v>
      </c>
    </row>
    <row r="1651" spans="1:6" s="4" customFormat="1" ht="12">
      <c r="A1651" s="106">
        <v>240314</v>
      </c>
      <c r="B1651" s="119" t="s">
        <v>1086</v>
      </c>
      <c r="C1651" s="103">
        <v>218054480</v>
      </c>
      <c r="D1651" s="111" t="s">
        <v>2330</v>
      </c>
      <c r="E1651" s="95">
        <v>4611</v>
      </c>
      <c r="F1651" s="35">
        <v>0</v>
      </c>
    </row>
    <row r="1652" spans="1:6" s="4" customFormat="1" ht="12">
      <c r="A1652" s="106">
        <v>240314</v>
      </c>
      <c r="B1652" s="119" t="s">
        <v>1086</v>
      </c>
      <c r="C1652" s="103">
        <v>219854498</v>
      </c>
      <c r="D1652" s="111" t="s">
        <v>2331</v>
      </c>
      <c r="E1652" s="95">
        <v>110434</v>
      </c>
      <c r="F1652" s="35">
        <v>0</v>
      </c>
    </row>
    <row r="1653" spans="1:6" s="4" customFormat="1" ht="12">
      <c r="A1653" s="106">
        <v>240314</v>
      </c>
      <c r="B1653" s="119" t="s">
        <v>1086</v>
      </c>
      <c r="C1653" s="103">
        <v>211854518</v>
      </c>
      <c r="D1653" s="111" t="s">
        <v>2332</v>
      </c>
      <c r="E1653" s="95">
        <v>53977</v>
      </c>
      <c r="F1653" s="35">
        <v>0</v>
      </c>
    </row>
    <row r="1654" spans="1:6" s="4" customFormat="1" ht="12">
      <c r="A1654" s="106">
        <v>240314</v>
      </c>
      <c r="B1654" s="119" t="s">
        <v>1086</v>
      </c>
      <c r="C1654" s="103">
        <v>212054520</v>
      </c>
      <c r="D1654" s="111" t="s">
        <v>2333</v>
      </c>
      <c r="E1654" s="95">
        <v>5354</v>
      </c>
      <c r="F1654" s="35">
        <v>0</v>
      </c>
    </row>
    <row r="1655" spans="1:6" s="4" customFormat="1" ht="12">
      <c r="A1655" s="106">
        <v>240314</v>
      </c>
      <c r="B1655" s="119" t="s">
        <v>1086</v>
      </c>
      <c r="C1655" s="103">
        <v>215354553</v>
      </c>
      <c r="D1655" s="111" t="s">
        <v>2334</v>
      </c>
      <c r="E1655" s="95">
        <v>7151</v>
      </c>
      <c r="F1655" s="35">
        <v>0</v>
      </c>
    </row>
    <row r="1656" spans="1:6" s="4" customFormat="1" ht="12">
      <c r="A1656" s="106">
        <v>240314</v>
      </c>
      <c r="B1656" s="119" t="s">
        <v>1086</v>
      </c>
      <c r="C1656" s="103">
        <v>219954599</v>
      </c>
      <c r="D1656" s="111" t="s">
        <v>2335</v>
      </c>
      <c r="E1656" s="95">
        <v>5355</v>
      </c>
      <c r="F1656" s="35">
        <v>0</v>
      </c>
    </row>
    <row r="1657" spans="1:6" s="4" customFormat="1" ht="12">
      <c r="A1657" s="106">
        <v>240314</v>
      </c>
      <c r="B1657" s="119" t="s">
        <v>1086</v>
      </c>
      <c r="C1657" s="103">
        <v>216054660</v>
      </c>
      <c r="D1657" s="111" t="s">
        <v>2336</v>
      </c>
      <c r="E1657" s="95">
        <v>12964</v>
      </c>
      <c r="F1657" s="35">
        <v>0</v>
      </c>
    </row>
    <row r="1658" spans="1:6" s="4" customFormat="1" ht="12">
      <c r="A1658" s="106">
        <v>240314</v>
      </c>
      <c r="B1658" s="119" t="s">
        <v>1086</v>
      </c>
      <c r="C1658" s="103">
        <v>217054670</v>
      </c>
      <c r="D1658" s="111" t="s">
        <v>2337</v>
      </c>
      <c r="E1658" s="95">
        <v>20899</v>
      </c>
      <c r="F1658" s="35">
        <v>0</v>
      </c>
    </row>
    <row r="1659" spans="1:6" s="4" customFormat="1" ht="12">
      <c r="A1659" s="106">
        <v>240314</v>
      </c>
      <c r="B1659" s="119" t="s">
        <v>1086</v>
      </c>
      <c r="C1659" s="103">
        <v>217354673</v>
      </c>
      <c r="D1659" s="111" t="s">
        <v>2060</v>
      </c>
      <c r="E1659" s="95">
        <v>5193</v>
      </c>
      <c r="F1659" s="35">
        <v>0</v>
      </c>
    </row>
    <row r="1660" spans="1:6" s="4" customFormat="1" ht="12">
      <c r="A1660" s="106">
        <v>240314</v>
      </c>
      <c r="B1660" s="119" t="s">
        <v>1086</v>
      </c>
      <c r="C1660" s="106">
        <v>218054680</v>
      </c>
      <c r="D1660" s="111" t="s">
        <v>2338</v>
      </c>
      <c r="E1660" s="95">
        <v>4146</v>
      </c>
      <c r="F1660" s="35">
        <v>0</v>
      </c>
    </row>
    <row r="1661" spans="1:6" s="4" customFormat="1" ht="12">
      <c r="A1661" s="106">
        <v>240314</v>
      </c>
      <c r="B1661" s="119" t="s">
        <v>1086</v>
      </c>
      <c r="C1661" s="106">
        <v>212054720</v>
      </c>
      <c r="D1661" s="111" t="s">
        <v>2339</v>
      </c>
      <c r="E1661" s="95">
        <v>35142</v>
      </c>
      <c r="F1661" s="35">
        <v>0</v>
      </c>
    </row>
    <row r="1662" spans="1:6" s="4" customFormat="1" ht="12">
      <c r="A1662" s="106">
        <v>240314</v>
      </c>
      <c r="B1662" s="119" t="s">
        <v>1086</v>
      </c>
      <c r="C1662" s="106">
        <v>214354743</v>
      </c>
      <c r="D1662" s="111" t="s">
        <v>2340</v>
      </c>
      <c r="E1662" s="95">
        <v>6953</v>
      </c>
      <c r="F1662" s="35">
        <v>0</v>
      </c>
    </row>
    <row r="1663" spans="1:6" s="4" customFormat="1" ht="12">
      <c r="A1663" s="106">
        <v>240314</v>
      </c>
      <c r="B1663" s="119" t="s">
        <v>1086</v>
      </c>
      <c r="C1663" s="106">
        <v>210054800</v>
      </c>
      <c r="D1663" s="111" t="s">
        <v>2341</v>
      </c>
      <c r="E1663" s="95">
        <v>24062</v>
      </c>
      <c r="F1663" s="35">
        <v>0</v>
      </c>
    </row>
    <row r="1664" spans="1:6" s="4" customFormat="1" ht="12">
      <c r="A1664" s="106">
        <v>240314</v>
      </c>
      <c r="B1664" s="119" t="s">
        <v>1086</v>
      </c>
      <c r="C1664" s="106">
        <v>211054810</v>
      </c>
      <c r="D1664" s="111" t="s">
        <v>2342</v>
      </c>
      <c r="E1664" s="95">
        <v>52186</v>
      </c>
      <c r="F1664" s="35">
        <v>0</v>
      </c>
    </row>
    <row r="1665" spans="1:6" s="4" customFormat="1" ht="12">
      <c r="A1665" s="106">
        <v>240314</v>
      </c>
      <c r="B1665" s="119" t="s">
        <v>1086</v>
      </c>
      <c r="C1665" s="106">
        <v>212054820</v>
      </c>
      <c r="D1665" s="111" t="s">
        <v>1312</v>
      </c>
      <c r="E1665" s="95">
        <v>21009</v>
      </c>
      <c r="F1665" s="35">
        <v>0</v>
      </c>
    </row>
    <row r="1666" spans="1:6" s="4" customFormat="1" ht="12">
      <c r="A1666" s="106">
        <v>240314</v>
      </c>
      <c r="B1666" s="119" t="s">
        <v>1086</v>
      </c>
      <c r="C1666" s="103">
        <v>217154871</v>
      </c>
      <c r="D1666" s="111" t="s">
        <v>2343</v>
      </c>
      <c r="E1666" s="95">
        <v>6747</v>
      </c>
      <c r="F1666" s="35">
        <v>0</v>
      </c>
    </row>
    <row r="1667" spans="1:6" s="4" customFormat="1" ht="12">
      <c r="A1667" s="106">
        <v>240314</v>
      </c>
      <c r="B1667" s="119" t="s">
        <v>1086</v>
      </c>
      <c r="C1667" s="106">
        <v>217454874</v>
      </c>
      <c r="D1667" s="111" t="s">
        <v>2344</v>
      </c>
      <c r="E1667" s="95">
        <v>71511</v>
      </c>
      <c r="F1667" s="35">
        <v>0</v>
      </c>
    </row>
    <row r="1668" spans="1:6" s="4" customFormat="1" ht="12">
      <c r="A1668" s="106">
        <v>240314</v>
      </c>
      <c r="B1668" s="119" t="s">
        <v>1086</v>
      </c>
      <c r="C1668" s="106">
        <v>211163111</v>
      </c>
      <c r="D1668" s="111" t="s">
        <v>1436</v>
      </c>
      <c r="E1668" s="95">
        <v>4314</v>
      </c>
      <c r="F1668" s="35">
        <v>0</v>
      </c>
    </row>
    <row r="1669" spans="1:6" s="4" customFormat="1" ht="12">
      <c r="A1669" s="106">
        <v>240314</v>
      </c>
      <c r="B1669" s="119" t="s">
        <v>1086</v>
      </c>
      <c r="C1669" s="103">
        <v>213063130</v>
      </c>
      <c r="D1669" s="111" t="s">
        <v>2345</v>
      </c>
      <c r="E1669" s="95">
        <v>87181</v>
      </c>
      <c r="F1669" s="35">
        <v>0</v>
      </c>
    </row>
    <row r="1670" spans="1:6" s="4" customFormat="1" ht="12">
      <c r="A1670" s="106">
        <v>240314</v>
      </c>
      <c r="B1670" s="119" t="s">
        <v>1086</v>
      </c>
      <c r="C1670" s="106">
        <v>219063190</v>
      </c>
      <c r="D1670" s="111" t="s">
        <v>2346</v>
      </c>
      <c r="E1670" s="95">
        <v>31354</v>
      </c>
      <c r="F1670" s="35">
        <v>0</v>
      </c>
    </row>
    <row r="1671" spans="1:6" s="4" customFormat="1" ht="12">
      <c r="A1671" s="106">
        <v>240314</v>
      </c>
      <c r="B1671" s="119" t="s">
        <v>1086</v>
      </c>
      <c r="C1671" s="106">
        <v>211263212</v>
      </c>
      <c r="D1671" s="111" t="s">
        <v>1096</v>
      </c>
      <c r="E1671" s="95">
        <v>7164</v>
      </c>
      <c r="F1671" s="35">
        <v>0</v>
      </c>
    </row>
    <row r="1672" spans="1:6" s="4" customFormat="1" ht="12">
      <c r="A1672" s="106">
        <v>240314</v>
      </c>
      <c r="B1672" s="119" t="s">
        <v>1086</v>
      </c>
      <c r="C1672" s="106">
        <v>217263272</v>
      </c>
      <c r="D1672" s="111" t="s">
        <v>2347</v>
      </c>
      <c r="E1672" s="95">
        <v>16027</v>
      </c>
      <c r="F1672" s="35">
        <v>0</v>
      </c>
    </row>
    <row r="1673" spans="1:6" s="4" customFormat="1" ht="12">
      <c r="A1673" s="106">
        <v>240314</v>
      </c>
      <c r="B1673" s="119" t="s">
        <v>1086</v>
      </c>
      <c r="C1673" s="106">
        <v>210263302</v>
      </c>
      <c r="D1673" s="111" t="s">
        <v>2348</v>
      </c>
      <c r="E1673" s="95">
        <v>10592</v>
      </c>
      <c r="F1673" s="35">
        <v>0</v>
      </c>
    </row>
    <row r="1674" spans="1:6" s="4" customFormat="1" ht="12">
      <c r="A1674" s="106">
        <v>240314</v>
      </c>
      <c r="B1674" s="119" t="s">
        <v>1086</v>
      </c>
      <c r="C1674" s="106">
        <v>210163401</v>
      </c>
      <c r="D1674" s="111" t="s">
        <v>2349</v>
      </c>
      <c r="E1674" s="95">
        <v>43375</v>
      </c>
      <c r="F1674" s="35">
        <v>0</v>
      </c>
    </row>
    <row r="1675" spans="1:6" s="4" customFormat="1" ht="12">
      <c r="A1675" s="106">
        <v>240314</v>
      </c>
      <c r="B1675" s="119" t="s">
        <v>1086</v>
      </c>
      <c r="C1675" s="106">
        <v>217063470</v>
      </c>
      <c r="D1675" s="111" t="s">
        <v>2350</v>
      </c>
      <c r="E1675" s="95">
        <v>50043</v>
      </c>
      <c r="F1675" s="35">
        <v>0</v>
      </c>
    </row>
    <row r="1676" spans="1:6" s="4" customFormat="1" ht="12">
      <c r="A1676" s="106">
        <v>240314</v>
      </c>
      <c r="B1676" s="119" t="s">
        <v>1086</v>
      </c>
      <c r="C1676" s="106">
        <v>214863548</v>
      </c>
      <c r="D1676" s="111" t="s">
        <v>2351</v>
      </c>
      <c r="E1676" s="95">
        <v>14102</v>
      </c>
      <c r="F1676" s="35">
        <v>0</v>
      </c>
    </row>
    <row r="1677" spans="1:6" s="4" customFormat="1" ht="12">
      <c r="A1677" s="106">
        <v>240314</v>
      </c>
      <c r="B1677" s="119" t="s">
        <v>1086</v>
      </c>
      <c r="C1677" s="106">
        <v>219463594</v>
      </c>
      <c r="D1677" s="111" t="s">
        <v>2352</v>
      </c>
      <c r="E1677" s="95">
        <v>41667</v>
      </c>
      <c r="F1677" s="35">
        <v>0</v>
      </c>
    </row>
    <row r="1678" spans="1:6" s="4" customFormat="1" ht="12">
      <c r="A1678" s="106">
        <v>240314</v>
      </c>
      <c r="B1678" s="119" t="s">
        <v>1086</v>
      </c>
      <c r="C1678" s="106">
        <v>219063690</v>
      </c>
      <c r="D1678" s="111" t="s">
        <v>2353</v>
      </c>
      <c r="E1678" s="95">
        <v>9275</v>
      </c>
      <c r="F1678" s="35">
        <v>0</v>
      </c>
    </row>
    <row r="1679" spans="1:6" s="4" customFormat="1" ht="12">
      <c r="A1679" s="106">
        <v>240314</v>
      </c>
      <c r="B1679" s="119" t="s">
        <v>1086</v>
      </c>
      <c r="C1679" s="106">
        <v>214566045</v>
      </c>
      <c r="D1679" s="111" t="s">
        <v>2354</v>
      </c>
      <c r="E1679" s="95">
        <v>14133</v>
      </c>
      <c r="F1679" s="35">
        <v>0</v>
      </c>
    </row>
    <row r="1680" spans="1:6" s="4" customFormat="1" ht="12">
      <c r="A1680" s="106">
        <v>240314</v>
      </c>
      <c r="B1680" s="119" t="s">
        <v>1086</v>
      </c>
      <c r="C1680" s="106">
        <v>217566075</v>
      </c>
      <c r="D1680" s="111" t="s">
        <v>1859</v>
      </c>
      <c r="E1680" s="95">
        <v>8062</v>
      </c>
      <c r="F1680" s="35">
        <v>0</v>
      </c>
    </row>
    <row r="1681" spans="1:6" s="4" customFormat="1" ht="12">
      <c r="A1681" s="106">
        <v>240314</v>
      </c>
      <c r="B1681" s="119" t="s">
        <v>1086</v>
      </c>
      <c r="C1681" s="103">
        <v>218866088</v>
      </c>
      <c r="D1681" s="111" t="s">
        <v>2355</v>
      </c>
      <c r="E1681" s="95">
        <v>32634</v>
      </c>
      <c r="F1681" s="35">
        <v>0</v>
      </c>
    </row>
    <row r="1682" spans="1:6" s="4" customFormat="1" ht="12">
      <c r="A1682" s="106">
        <v>240314</v>
      </c>
      <c r="B1682" s="119" t="s">
        <v>1086</v>
      </c>
      <c r="C1682" s="106">
        <v>211866318</v>
      </c>
      <c r="D1682" s="111" t="s">
        <v>2356</v>
      </c>
      <c r="E1682" s="95">
        <v>15940</v>
      </c>
      <c r="F1682" s="35">
        <v>0</v>
      </c>
    </row>
    <row r="1683" spans="1:6" s="4" customFormat="1" ht="12">
      <c r="A1683" s="106">
        <v>240314</v>
      </c>
      <c r="B1683" s="119" t="s">
        <v>1086</v>
      </c>
      <c r="C1683" s="103">
        <v>218366383</v>
      </c>
      <c r="D1683" s="111" t="s">
        <v>2357</v>
      </c>
      <c r="E1683" s="95">
        <v>9984</v>
      </c>
      <c r="F1683" s="35">
        <v>0</v>
      </c>
    </row>
    <row r="1684" spans="1:6" s="4" customFormat="1" ht="12">
      <c r="A1684" s="106">
        <v>240314</v>
      </c>
      <c r="B1684" s="119" t="s">
        <v>1086</v>
      </c>
      <c r="C1684" s="106">
        <v>210066400</v>
      </c>
      <c r="D1684" s="111" t="s">
        <v>2358</v>
      </c>
      <c r="E1684" s="95">
        <v>39052</v>
      </c>
      <c r="F1684" s="35">
        <v>0</v>
      </c>
    </row>
    <row r="1685" spans="1:6" s="4" customFormat="1" ht="12">
      <c r="A1685" s="106">
        <v>240314</v>
      </c>
      <c r="B1685" s="119" t="s">
        <v>1086</v>
      </c>
      <c r="C1685" s="106">
        <v>214066440</v>
      </c>
      <c r="D1685" s="111" t="s">
        <v>2359</v>
      </c>
      <c r="E1685" s="95">
        <v>23910</v>
      </c>
      <c r="F1685" s="35">
        <v>0</v>
      </c>
    </row>
    <row r="1686" spans="1:6" s="4" customFormat="1" ht="12">
      <c r="A1686" s="106">
        <v>240314</v>
      </c>
      <c r="B1686" s="119" t="s">
        <v>1086</v>
      </c>
      <c r="C1686" s="106">
        <v>215666456</v>
      </c>
      <c r="D1686" s="111" t="s">
        <v>2360</v>
      </c>
      <c r="E1686" s="95">
        <v>20994</v>
      </c>
      <c r="F1686" s="35">
        <v>0</v>
      </c>
    </row>
    <row r="1687" spans="1:6" s="4" customFormat="1" ht="12">
      <c r="A1687" s="106">
        <v>240314</v>
      </c>
      <c r="B1687" s="119" t="s">
        <v>1086</v>
      </c>
      <c r="C1687" s="106">
        <v>217266572</v>
      </c>
      <c r="D1687" s="111" t="s">
        <v>2361</v>
      </c>
      <c r="E1687" s="95">
        <v>21043</v>
      </c>
      <c r="F1687" s="35">
        <v>0</v>
      </c>
    </row>
    <row r="1688" spans="1:6" s="4" customFormat="1" ht="12">
      <c r="A1688" s="106">
        <v>240314</v>
      </c>
      <c r="B1688" s="119" t="s">
        <v>1086</v>
      </c>
      <c r="C1688" s="103">
        <v>219466594</v>
      </c>
      <c r="D1688" s="111" t="s">
        <v>2362</v>
      </c>
      <c r="E1688" s="95">
        <v>36791</v>
      </c>
      <c r="F1688" s="35">
        <v>0</v>
      </c>
    </row>
    <row r="1689" spans="1:6" s="4" customFormat="1" ht="12">
      <c r="A1689" s="106">
        <v>240314</v>
      </c>
      <c r="B1689" s="119" t="s">
        <v>1086</v>
      </c>
      <c r="C1689" s="103">
        <v>218266682</v>
      </c>
      <c r="D1689" s="111" t="s">
        <v>2363</v>
      </c>
      <c r="E1689" s="95">
        <v>78503</v>
      </c>
      <c r="F1689" s="35">
        <v>0</v>
      </c>
    </row>
    <row r="1690" spans="1:6" s="4" customFormat="1" ht="12">
      <c r="A1690" s="106">
        <v>240314</v>
      </c>
      <c r="B1690" s="119" t="s">
        <v>1086</v>
      </c>
      <c r="C1690" s="106">
        <v>218766687</v>
      </c>
      <c r="D1690" s="111" t="s">
        <v>2364</v>
      </c>
      <c r="E1690" s="95">
        <v>17307</v>
      </c>
      <c r="F1690" s="35">
        <v>0</v>
      </c>
    </row>
    <row r="1691" spans="1:6" s="4" customFormat="1" ht="12">
      <c r="A1691" s="106">
        <v>240314</v>
      </c>
      <c r="B1691" s="119" t="s">
        <v>1086</v>
      </c>
      <c r="C1691" s="106" t="s">
        <v>2365</v>
      </c>
      <c r="D1691" s="111" t="s">
        <v>2366</v>
      </c>
      <c r="E1691" s="95">
        <v>2316</v>
      </c>
      <c r="F1691" s="35">
        <v>0</v>
      </c>
    </row>
    <row r="1692" spans="1:6" s="4" customFormat="1" ht="12">
      <c r="A1692" s="106">
        <v>240314</v>
      </c>
      <c r="B1692" s="119" t="s">
        <v>1086</v>
      </c>
      <c r="C1692" s="106" t="s">
        <v>2367</v>
      </c>
      <c r="D1692" s="111" t="s">
        <v>1576</v>
      </c>
      <c r="E1692" s="95">
        <v>5630</v>
      </c>
      <c r="F1692" s="35">
        <v>0</v>
      </c>
    </row>
    <row r="1693" spans="1:6" s="4" customFormat="1" ht="12">
      <c r="A1693" s="106">
        <v>240314</v>
      </c>
      <c r="B1693" s="119" t="s">
        <v>1086</v>
      </c>
      <c r="C1693" s="106" t="s">
        <v>299</v>
      </c>
      <c r="D1693" s="111" t="s">
        <v>2368</v>
      </c>
      <c r="E1693" s="95">
        <v>11189</v>
      </c>
      <c r="F1693" s="35">
        <v>0</v>
      </c>
    </row>
    <row r="1694" spans="1:6" s="4" customFormat="1" ht="12">
      <c r="A1694" s="106">
        <v>240314</v>
      </c>
      <c r="B1694" s="119" t="s">
        <v>1086</v>
      </c>
      <c r="C1694" s="106" t="s">
        <v>323</v>
      </c>
      <c r="D1694" s="111" t="s">
        <v>1189</v>
      </c>
      <c r="E1694" s="95">
        <v>25027</v>
      </c>
      <c r="F1694" s="35">
        <v>0</v>
      </c>
    </row>
    <row r="1695" spans="1:6" s="4" customFormat="1" ht="12">
      <c r="A1695" s="106">
        <v>240314</v>
      </c>
      <c r="B1695" s="119" t="s">
        <v>1086</v>
      </c>
      <c r="C1695" s="106" t="s">
        <v>325</v>
      </c>
      <c r="D1695" s="111" t="s">
        <v>2369</v>
      </c>
      <c r="E1695" s="95">
        <v>10754</v>
      </c>
      <c r="F1695" s="35">
        <v>0</v>
      </c>
    </row>
    <row r="1696" spans="1:6" s="4" customFormat="1" ht="12">
      <c r="A1696" s="106">
        <v>240314</v>
      </c>
      <c r="B1696" s="119" t="s">
        <v>1086</v>
      </c>
      <c r="C1696" s="106" t="s">
        <v>346</v>
      </c>
      <c r="D1696" s="111" t="s">
        <v>1194</v>
      </c>
      <c r="E1696" s="95">
        <v>6118</v>
      </c>
      <c r="F1696" s="35">
        <v>0</v>
      </c>
    </row>
    <row r="1697" spans="1:6" s="4" customFormat="1" ht="12">
      <c r="A1697" s="106">
        <v>240314</v>
      </c>
      <c r="B1697" s="119" t="s">
        <v>1086</v>
      </c>
      <c r="C1697" s="106">
        <v>210168101</v>
      </c>
      <c r="D1697" s="111" t="s">
        <v>1089</v>
      </c>
      <c r="E1697" s="95">
        <v>15684</v>
      </c>
      <c r="F1697" s="35">
        <v>0</v>
      </c>
    </row>
    <row r="1698" spans="1:6" s="4" customFormat="1" ht="12">
      <c r="A1698" s="106">
        <v>240314</v>
      </c>
      <c r="B1698" s="119" t="s">
        <v>1086</v>
      </c>
      <c r="C1698" s="106" t="s">
        <v>2370</v>
      </c>
      <c r="D1698" s="111" t="s">
        <v>1981</v>
      </c>
      <c r="E1698" s="95">
        <v>3259</v>
      </c>
      <c r="F1698" s="35">
        <v>0</v>
      </c>
    </row>
    <row r="1699" spans="1:6" s="4" customFormat="1" ht="12">
      <c r="A1699" s="106">
        <v>240314</v>
      </c>
      <c r="B1699" s="119" t="s">
        <v>1086</v>
      </c>
      <c r="C1699" s="106" t="s">
        <v>388</v>
      </c>
      <c r="D1699" s="111" t="s">
        <v>2371</v>
      </c>
      <c r="E1699" s="95">
        <v>1594</v>
      </c>
      <c r="F1699" s="35">
        <v>0</v>
      </c>
    </row>
    <row r="1700" spans="1:6" s="4" customFormat="1" ht="12">
      <c r="A1700" s="106">
        <v>240314</v>
      </c>
      <c r="B1700" s="119" t="s">
        <v>1086</v>
      </c>
      <c r="C1700" s="106" t="s">
        <v>403</v>
      </c>
      <c r="D1700" s="111" t="s">
        <v>2372</v>
      </c>
      <c r="E1700" s="95">
        <v>13404</v>
      </c>
      <c r="F1700" s="35">
        <v>0</v>
      </c>
    </row>
    <row r="1701" spans="1:6" s="4" customFormat="1" ht="12">
      <c r="A1701" s="106">
        <v>240314</v>
      </c>
      <c r="B1701" s="119" t="s">
        <v>1086</v>
      </c>
      <c r="C1701" s="106">
        <v>215268152</v>
      </c>
      <c r="D1701" s="111" t="s">
        <v>2373</v>
      </c>
      <c r="E1701" s="95">
        <v>17393</v>
      </c>
      <c r="F1701" s="35">
        <v>0</v>
      </c>
    </row>
    <row r="1702" spans="1:6" s="4" customFormat="1" ht="12">
      <c r="A1702" s="106">
        <v>240314</v>
      </c>
      <c r="B1702" s="119" t="s">
        <v>1086</v>
      </c>
      <c r="C1702" s="106">
        <v>216068160</v>
      </c>
      <c r="D1702" s="111" t="s">
        <v>2374</v>
      </c>
      <c r="E1702" s="95">
        <v>5425</v>
      </c>
      <c r="F1702" s="35">
        <v>0</v>
      </c>
    </row>
    <row r="1703" spans="1:6" s="4" customFormat="1" ht="12">
      <c r="A1703" s="106">
        <v>240314</v>
      </c>
      <c r="B1703" s="119" t="s">
        <v>1086</v>
      </c>
      <c r="C1703" s="106">
        <v>216268162</v>
      </c>
      <c r="D1703" s="111" t="s">
        <v>2375</v>
      </c>
      <c r="E1703" s="95">
        <v>8191</v>
      </c>
      <c r="F1703" s="35">
        <v>0</v>
      </c>
    </row>
    <row r="1704" spans="1:6" s="4" customFormat="1" ht="12">
      <c r="A1704" s="106">
        <v>240314</v>
      </c>
      <c r="B1704" s="119" t="s">
        <v>1086</v>
      </c>
      <c r="C1704" s="106" t="s">
        <v>427</v>
      </c>
      <c r="D1704" s="111" t="s">
        <v>2376</v>
      </c>
      <c r="E1704" s="95">
        <v>16301</v>
      </c>
      <c r="F1704" s="35">
        <v>0</v>
      </c>
    </row>
    <row r="1705" spans="1:6" s="4" customFormat="1" ht="12">
      <c r="A1705" s="106">
        <v>240314</v>
      </c>
      <c r="B1705" s="119" t="s">
        <v>1086</v>
      </c>
      <c r="C1705" s="106" t="s">
        <v>429</v>
      </c>
      <c r="D1705" s="111" t="s">
        <v>2377</v>
      </c>
      <c r="E1705" s="95">
        <v>5093</v>
      </c>
      <c r="F1705" s="35">
        <v>0</v>
      </c>
    </row>
    <row r="1706" spans="1:6" s="4" customFormat="1" ht="12">
      <c r="A1706" s="106">
        <v>240314</v>
      </c>
      <c r="B1706" s="119" t="s">
        <v>1086</v>
      </c>
      <c r="C1706" s="106" t="s">
        <v>435</v>
      </c>
      <c r="D1706" s="111" t="s">
        <v>1942</v>
      </c>
      <c r="E1706" s="95">
        <v>4090</v>
      </c>
      <c r="F1706" s="35">
        <v>0</v>
      </c>
    </row>
    <row r="1707" spans="1:6" s="4" customFormat="1" ht="12">
      <c r="A1707" s="106">
        <v>240314</v>
      </c>
      <c r="B1707" s="119" t="s">
        <v>1086</v>
      </c>
      <c r="C1707" s="106" t="s">
        <v>443</v>
      </c>
      <c r="D1707" s="111" t="s">
        <v>2378</v>
      </c>
      <c r="E1707" s="95">
        <v>4689</v>
      </c>
      <c r="F1707" s="35">
        <v>0</v>
      </c>
    </row>
    <row r="1708" spans="1:6" s="4" customFormat="1" ht="12">
      <c r="A1708" s="106">
        <v>240314</v>
      </c>
      <c r="B1708" s="119" t="s">
        <v>1086</v>
      </c>
      <c r="C1708" s="106" t="s">
        <v>464</v>
      </c>
      <c r="D1708" s="111" t="s">
        <v>2379</v>
      </c>
      <c r="E1708" s="95">
        <v>37502</v>
      </c>
      <c r="F1708" s="35">
        <v>0</v>
      </c>
    </row>
    <row r="1709" spans="1:6" s="4" customFormat="1" ht="12">
      <c r="A1709" s="106">
        <v>240314</v>
      </c>
      <c r="B1709" s="119" t="s">
        <v>1086</v>
      </c>
      <c r="C1709" s="106" t="s">
        <v>475</v>
      </c>
      <c r="D1709" s="111" t="s">
        <v>1217</v>
      </c>
      <c r="E1709" s="95">
        <v>5562</v>
      </c>
      <c r="F1709" s="35">
        <v>0</v>
      </c>
    </row>
    <row r="1710" spans="1:6" s="4" customFormat="1" ht="12">
      <c r="A1710" s="106">
        <v>240314</v>
      </c>
      <c r="B1710" s="119" t="s">
        <v>1086</v>
      </c>
      <c r="C1710" s="106" t="s">
        <v>479</v>
      </c>
      <c r="D1710" s="111" t="s">
        <v>2380</v>
      </c>
      <c r="E1710" s="95">
        <v>3502</v>
      </c>
      <c r="F1710" s="35">
        <v>0</v>
      </c>
    </row>
    <row r="1711" spans="1:6" s="4" customFormat="1" ht="12">
      <c r="A1711" s="106">
        <v>240314</v>
      </c>
      <c r="B1711" s="119" t="s">
        <v>1086</v>
      </c>
      <c r="C1711" s="106" t="s">
        <v>481</v>
      </c>
      <c r="D1711" s="111" t="s">
        <v>2381</v>
      </c>
      <c r="E1711" s="95">
        <v>5097</v>
      </c>
      <c r="F1711" s="35">
        <v>0</v>
      </c>
    </row>
    <row r="1712" spans="1:6" s="4" customFormat="1" ht="12">
      <c r="A1712" s="106">
        <v>240314</v>
      </c>
      <c r="B1712" s="119" t="s">
        <v>1086</v>
      </c>
      <c r="C1712" s="106" t="s">
        <v>489</v>
      </c>
      <c r="D1712" s="111" t="s">
        <v>2382</v>
      </c>
      <c r="E1712" s="95">
        <v>6534</v>
      </c>
      <c r="F1712" s="35">
        <v>0</v>
      </c>
    </row>
    <row r="1713" spans="1:6" s="4" customFormat="1" ht="12">
      <c r="A1713" s="106">
        <v>240314</v>
      </c>
      <c r="B1713" s="119" t="s">
        <v>1086</v>
      </c>
      <c r="C1713" s="106">
        <v>212968229</v>
      </c>
      <c r="D1713" s="111" t="s">
        <v>2383</v>
      </c>
      <c r="E1713" s="95">
        <v>11419</v>
      </c>
      <c r="F1713" s="35">
        <v>0</v>
      </c>
    </row>
    <row r="1714" spans="1:6" s="4" customFormat="1" ht="12">
      <c r="A1714" s="106">
        <v>240314</v>
      </c>
      <c r="B1714" s="119" t="s">
        <v>1086</v>
      </c>
      <c r="C1714" s="106" t="s">
        <v>1050</v>
      </c>
      <c r="D1714" s="111" t="s">
        <v>2121</v>
      </c>
      <c r="E1714" s="95">
        <v>30059</v>
      </c>
      <c r="F1714" s="35">
        <v>0</v>
      </c>
    </row>
    <row r="1715" spans="1:6" s="4" customFormat="1" ht="12">
      <c r="A1715" s="106">
        <v>240314</v>
      </c>
      <c r="B1715" s="119" t="s">
        <v>1086</v>
      </c>
      <c r="C1715" s="106" t="s">
        <v>3025</v>
      </c>
      <c r="D1715" s="111" t="s">
        <v>2384</v>
      </c>
      <c r="E1715" s="95">
        <v>2613</v>
      </c>
      <c r="F1715" s="35">
        <v>0</v>
      </c>
    </row>
    <row r="1716" spans="1:6" s="4" customFormat="1" ht="12">
      <c r="A1716" s="106">
        <v>240314</v>
      </c>
      <c r="B1716" s="119" t="s">
        <v>1086</v>
      </c>
      <c r="C1716" s="106" t="s">
        <v>2385</v>
      </c>
      <c r="D1716" s="111" t="s">
        <v>2386</v>
      </c>
      <c r="E1716" s="95">
        <v>8499</v>
      </c>
      <c r="F1716" s="35">
        <v>0</v>
      </c>
    </row>
    <row r="1717" spans="1:6" s="4" customFormat="1" ht="12">
      <c r="A1717" s="106">
        <v>240314</v>
      </c>
      <c r="B1717" s="119" t="s">
        <v>1086</v>
      </c>
      <c r="C1717" s="106" t="s">
        <v>2938</v>
      </c>
      <c r="D1717" s="111" t="s">
        <v>2387</v>
      </c>
      <c r="E1717" s="95">
        <v>15217</v>
      </c>
      <c r="F1717" s="35">
        <v>0</v>
      </c>
    </row>
    <row r="1718" spans="1:6" s="4" customFormat="1" ht="12">
      <c r="A1718" s="106">
        <v>240314</v>
      </c>
      <c r="B1718" s="119" t="s">
        <v>1086</v>
      </c>
      <c r="C1718" s="106" t="s">
        <v>2949</v>
      </c>
      <c r="D1718" s="111" t="s">
        <v>2388</v>
      </c>
      <c r="E1718" s="95">
        <v>3582</v>
      </c>
      <c r="F1718" s="35">
        <v>0</v>
      </c>
    </row>
    <row r="1719" spans="1:6" s="4" customFormat="1" ht="12">
      <c r="A1719" s="106">
        <v>240314</v>
      </c>
      <c r="B1719" s="119" t="s">
        <v>1086</v>
      </c>
      <c r="C1719" s="106" t="s">
        <v>2951</v>
      </c>
      <c r="D1719" s="111" t="s">
        <v>2389</v>
      </c>
      <c r="E1719" s="95">
        <v>12494</v>
      </c>
      <c r="F1719" s="35">
        <v>0</v>
      </c>
    </row>
    <row r="1720" spans="1:6" s="4" customFormat="1" ht="12">
      <c r="A1720" s="106">
        <v>240314</v>
      </c>
      <c r="B1720" s="119" t="s">
        <v>1086</v>
      </c>
      <c r="C1720" s="106" t="s">
        <v>2967</v>
      </c>
      <c r="D1720" s="111" t="s">
        <v>2390</v>
      </c>
      <c r="E1720" s="95">
        <v>8669</v>
      </c>
      <c r="F1720" s="35">
        <v>0</v>
      </c>
    </row>
    <row r="1721" spans="1:6" s="4" customFormat="1" ht="12">
      <c r="A1721" s="106">
        <v>240314</v>
      </c>
      <c r="B1721" s="119" t="s">
        <v>1086</v>
      </c>
      <c r="C1721" s="106" t="s">
        <v>2996</v>
      </c>
      <c r="D1721" s="111" t="s">
        <v>2391</v>
      </c>
      <c r="E1721" s="95">
        <v>10050</v>
      </c>
      <c r="F1721" s="35">
        <v>0</v>
      </c>
    </row>
    <row r="1722" spans="1:6" s="4" customFormat="1" ht="12">
      <c r="A1722" s="106">
        <v>240314</v>
      </c>
      <c r="B1722" s="119" t="s">
        <v>1086</v>
      </c>
      <c r="C1722" s="106" t="s">
        <v>3000</v>
      </c>
      <c r="D1722" s="111" t="s">
        <v>2392</v>
      </c>
      <c r="E1722" s="95">
        <v>4952</v>
      </c>
      <c r="F1722" s="35">
        <v>0</v>
      </c>
    </row>
    <row r="1723" spans="1:6" s="4" customFormat="1" ht="12">
      <c r="A1723" s="106">
        <v>240314</v>
      </c>
      <c r="B1723" s="119" t="s">
        <v>1086</v>
      </c>
      <c r="C1723" s="106" t="s">
        <v>3023</v>
      </c>
      <c r="D1723" s="111" t="s">
        <v>2393</v>
      </c>
      <c r="E1723" s="95">
        <v>10586</v>
      </c>
      <c r="F1723" s="35">
        <v>0</v>
      </c>
    </row>
    <row r="1724" spans="1:6" s="4" customFormat="1" ht="12">
      <c r="A1724" s="106">
        <v>240314</v>
      </c>
      <c r="B1724" s="119" t="s">
        <v>1086</v>
      </c>
      <c r="C1724" s="106" t="s">
        <v>3034</v>
      </c>
      <c r="D1724" s="111" t="s">
        <v>1235</v>
      </c>
      <c r="E1724" s="95">
        <v>7111</v>
      </c>
      <c r="F1724" s="35">
        <v>0</v>
      </c>
    </row>
    <row r="1725" spans="1:6" s="4" customFormat="1" ht="12">
      <c r="A1725" s="106">
        <v>240314</v>
      </c>
      <c r="B1725" s="119" t="s">
        <v>1086</v>
      </c>
      <c r="C1725" s="106">
        <v>212268322</v>
      </c>
      <c r="D1725" s="111" t="s">
        <v>2394</v>
      </c>
      <c r="E1725" s="95">
        <v>2895</v>
      </c>
      <c r="F1725" s="35">
        <v>0</v>
      </c>
    </row>
    <row r="1726" spans="1:6" s="4" customFormat="1" ht="12">
      <c r="A1726" s="106">
        <v>240314</v>
      </c>
      <c r="B1726" s="119" t="s">
        <v>1086</v>
      </c>
      <c r="C1726" s="106" t="s">
        <v>3051</v>
      </c>
      <c r="D1726" s="111" t="s">
        <v>2395</v>
      </c>
      <c r="E1726" s="95">
        <v>4428</v>
      </c>
      <c r="F1726" s="35">
        <v>0</v>
      </c>
    </row>
    <row r="1727" spans="1:6" s="4" customFormat="1" ht="12">
      <c r="A1727" s="106">
        <v>240314</v>
      </c>
      <c r="B1727" s="119" t="s">
        <v>1086</v>
      </c>
      <c r="C1727" s="106">
        <v>212768327</v>
      </c>
      <c r="D1727" s="111" t="s">
        <v>2396</v>
      </c>
      <c r="E1727" s="95">
        <v>5309</v>
      </c>
      <c r="F1727" s="35">
        <v>0</v>
      </c>
    </row>
    <row r="1728" spans="1:6" s="4" customFormat="1" ht="12">
      <c r="A1728" s="106">
        <v>240314</v>
      </c>
      <c r="B1728" s="119" t="s">
        <v>1086</v>
      </c>
      <c r="C1728" s="103" t="s">
        <v>3062</v>
      </c>
      <c r="D1728" s="111" t="s">
        <v>2397</v>
      </c>
      <c r="E1728" s="95">
        <v>8306</v>
      </c>
      <c r="F1728" s="35">
        <v>0</v>
      </c>
    </row>
    <row r="1729" spans="1:6" s="4" customFormat="1" ht="12">
      <c r="A1729" s="106">
        <v>240314</v>
      </c>
      <c r="B1729" s="119" t="s">
        <v>1086</v>
      </c>
      <c r="C1729" s="103" t="s">
        <v>3086</v>
      </c>
      <c r="D1729" s="111" t="s">
        <v>2398</v>
      </c>
      <c r="E1729" s="95">
        <v>4883</v>
      </c>
      <c r="F1729" s="35">
        <v>0</v>
      </c>
    </row>
    <row r="1730" spans="1:6" s="4" customFormat="1" ht="12">
      <c r="A1730" s="106">
        <v>240314</v>
      </c>
      <c r="B1730" s="119" t="s">
        <v>1086</v>
      </c>
      <c r="C1730" s="103" t="s">
        <v>3088</v>
      </c>
      <c r="D1730" s="111" t="s">
        <v>2399</v>
      </c>
      <c r="E1730" s="95">
        <v>2106</v>
      </c>
      <c r="F1730" s="35">
        <v>0</v>
      </c>
    </row>
    <row r="1731" spans="1:6" s="4" customFormat="1" ht="12">
      <c r="A1731" s="106">
        <v>240314</v>
      </c>
      <c r="B1731" s="119" t="s">
        <v>1086</v>
      </c>
      <c r="C1731" s="103" t="s">
        <v>3098</v>
      </c>
      <c r="D1731" s="111" t="s">
        <v>2400</v>
      </c>
      <c r="E1731" s="95">
        <v>8454</v>
      </c>
      <c r="F1731" s="35">
        <v>0</v>
      </c>
    </row>
    <row r="1732" spans="1:6" s="4" customFormat="1" ht="12">
      <c r="A1732" s="106">
        <v>240314</v>
      </c>
      <c r="B1732" s="119" t="s">
        <v>1086</v>
      </c>
      <c r="C1732" s="107">
        <v>218568385</v>
      </c>
      <c r="D1732" s="111" t="s">
        <v>2401</v>
      </c>
      <c r="E1732" s="95">
        <v>14725</v>
      </c>
      <c r="F1732" s="35">
        <v>0</v>
      </c>
    </row>
    <row r="1733" spans="1:6" s="4" customFormat="1" ht="12">
      <c r="A1733" s="106">
        <v>240314</v>
      </c>
      <c r="B1733" s="119" t="s">
        <v>1086</v>
      </c>
      <c r="C1733" s="103">
        <v>219768397</v>
      </c>
      <c r="D1733" s="111" t="s">
        <v>1928</v>
      </c>
      <c r="E1733" s="95">
        <v>5243</v>
      </c>
      <c r="F1733" s="35">
        <v>0</v>
      </c>
    </row>
    <row r="1734" spans="1:6" s="4" customFormat="1" ht="12">
      <c r="A1734" s="106">
        <v>240314</v>
      </c>
      <c r="B1734" s="119" t="s">
        <v>1086</v>
      </c>
      <c r="C1734" s="103" t="s">
        <v>2402</v>
      </c>
      <c r="D1734" s="111" t="s">
        <v>2403</v>
      </c>
      <c r="E1734" s="95">
        <v>32938</v>
      </c>
      <c r="F1734" s="35">
        <v>0</v>
      </c>
    </row>
    <row r="1735" spans="1:6" s="4" customFormat="1" ht="12">
      <c r="A1735" s="106">
        <v>240314</v>
      </c>
      <c r="B1735" s="119" t="s">
        <v>1086</v>
      </c>
      <c r="C1735" s="103" t="s">
        <v>3151</v>
      </c>
      <c r="D1735" s="111" t="s">
        <v>2404</v>
      </c>
      <c r="E1735" s="95">
        <v>11242</v>
      </c>
      <c r="F1735" s="35">
        <v>0</v>
      </c>
    </row>
    <row r="1736" spans="1:6" s="4" customFormat="1" ht="12">
      <c r="A1736" s="106">
        <v>240314</v>
      </c>
      <c r="B1736" s="119" t="s">
        <v>1086</v>
      </c>
      <c r="C1736" s="103" t="s">
        <v>3155</v>
      </c>
      <c r="D1736" s="111" t="s">
        <v>2405</v>
      </c>
      <c r="E1736" s="95">
        <v>6605</v>
      </c>
      <c r="F1736" s="35">
        <v>0</v>
      </c>
    </row>
    <row r="1737" spans="1:6" s="4" customFormat="1" ht="12">
      <c r="A1737" s="106">
        <v>240314</v>
      </c>
      <c r="B1737" s="119" t="s">
        <v>1086</v>
      </c>
      <c r="C1737" s="103" t="s">
        <v>3166</v>
      </c>
      <c r="D1737" s="111" t="s">
        <v>2406</v>
      </c>
      <c r="E1737" s="95">
        <v>27018</v>
      </c>
      <c r="F1737" s="35">
        <v>0</v>
      </c>
    </row>
    <row r="1738" spans="1:6" s="4" customFormat="1" ht="12">
      <c r="A1738" s="106">
        <v>240314</v>
      </c>
      <c r="B1738" s="119" t="s">
        <v>1086</v>
      </c>
      <c r="C1738" s="103" t="s">
        <v>3184</v>
      </c>
      <c r="D1738" s="111" t="s">
        <v>2407</v>
      </c>
      <c r="E1738" s="95">
        <v>7054</v>
      </c>
      <c r="F1738" s="35">
        <v>0</v>
      </c>
    </row>
    <row r="1739" spans="1:6" s="4" customFormat="1" ht="12">
      <c r="A1739" s="106">
        <v>240314</v>
      </c>
      <c r="B1739" s="119" t="s">
        <v>1086</v>
      </c>
      <c r="C1739" s="103" t="s">
        <v>3202</v>
      </c>
      <c r="D1739" s="111" t="s">
        <v>2408</v>
      </c>
      <c r="E1739" s="95">
        <v>13019</v>
      </c>
      <c r="F1739" s="35">
        <v>0</v>
      </c>
    </row>
    <row r="1740" spans="1:6" s="4" customFormat="1" ht="12">
      <c r="A1740" s="106">
        <v>240314</v>
      </c>
      <c r="B1740" s="119" t="s">
        <v>1086</v>
      </c>
      <c r="C1740" s="103" t="s">
        <v>3204</v>
      </c>
      <c r="D1740" s="111" t="s">
        <v>2409</v>
      </c>
      <c r="E1740" s="95">
        <v>8701</v>
      </c>
      <c r="F1740" s="35">
        <v>0</v>
      </c>
    </row>
    <row r="1741" spans="1:6" s="4" customFormat="1" ht="12">
      <c r="A1741" s="106">
        <v>240314</v>
      </c>
      <c r="B1741" s="119" t="s">
        <v>1086</v>
      </c>
      <c r="C1741" s="103" t="s">
        <v>554</v>
      </c>
      <c r="D1741" s="111" t="s">
        <v>2410</v>
      </c>
      <c r="E1741" s="95">
        <v>5119</v>
      </c>
      <c r="F1741" s="35">
        <v>0</v>
      </c>
    </row>
    <row r="1742" spans="1:6" s="4" customFormat="1" ht="12">
      <c r="A1742" s="106">
        <v>240314</v>
      </c>
      <c r="B1742" s="119" t="s">
        <v>1086</v>
      </c>
      <c r="C1742" s="103" t="s">
        <v>556</v>
      </c>
      <c r="D1742" s="111" t="s">
        <v>2411</v>
      </c>
      <c r="E1742" s="95">
        <v>14100</v>
      </c>
      <c r="F1742" s="35">
        <v>0</v>
      </c>
    </row>
    <row r="1743" spans="1:6" s="4" customFormat="1" ht="12">
      <c r="A1743" s="106">
        <v>240314</v>
      </c>
      <c r="B1743" s="119" t="s">
        <v>1086</v>
      </c>
      <c r="C1743" s="103" t="s">
        <v>561</v>
      </c>
      <c r="D1743" s="111" t="s">
        <v>2412</v>
      </c>
      <c r="E1743" s="95">
        <v>5618</v>
      </c>
      <c r="F1743" s="35">
        <v>0</v>
      </c>
    </row>
    <row r="1744" spans="1:6" s="4" customFormat="1" ht="12">
      <c r="A1744" s="106">
        <v>240314</v>
      </c>
      <c r="B1744" s="119" t="s">
        <v>1086</v>
      </c>
      <c r="C1744" s="103" t="s">
        <v>586</v>
      </c>
      <c r="D1744" s="111" t="s">
        <v>2413</v>
      </c>
      <c r="E1744" s="95">
        <v>2037</v>
      </c>
      <c r="F1744" s="35">
        <v>0</v>
      </c>
    </row>
    <row r="1745" spans="1:6" s="4" customFormat="1" ht="12">
      <c r="A1745" s="106">
        <v>240314</v>
      </c>
      <c r="B1745" s="119" t="s">
        <v>1086</v>
      </c>
      <c r="C1745" s="103" t="s">
        <v>588</v>
      </c>
      <c r="D1745" s="111" t="s">
        <v>2414</v>
      </c>
      <c r="E1745" s="95">
        <v>3287</v>
      </c>
      <c r="F1745" s="35">
        <v>0</v>
      </c>
    </row>
    <row r="1746" spans="1:6" s="4" customFormat="1" ht="12">
      <c r="A1746" s="106">
        <v>240314</v>
      </c>
      <c r="B1746" s="119" t="s">
        <v>1086</v>
      </c>
      <c r="C1746" s="103" t="s">
        <v>597</v>
      </c>
      <c r="D1746" s="111" t="s">
        <v>2415</v>
      </c>
      <c r="E1746" s="95">
        <v>4945</v>
      </c>
      <c r="F1746" s="35">
        <v>0</v>
      </c>
    </row>
    <row r="1747" spans="1:6" s="4" customFormat="1" ht="12">
      <c r="A1747" s="106">
        <v>240314</v>
      </c>
      <c r="B1747" s="119" t="s">
        <v>1086</v>
      </c>
      <c r="C1747" s="103" t="s">
        <v>621</v>
      </c>
      <c r="D1747" s="111" t="s">
        <v>2416</v>
      </c>
      <c r="E1747" s="95">
        <v>119901</v>
      </c>
      <c r="F1747" s="35">
        <v>0</v>
      </c>
    </row>
    <row r="1748" spans="1:6" s="4" customFormat="1" ht="12">
      <c r="A1748" s="106">
        <v>240314</v>
      </c>
      <c r="B1748" s="119" t="s">
        <v>1086</v>
      </c>
      <c r="C1748" s="103" t="s">
        <v>626</v>
      </c>
      <c r="D1748" s="111" t="s">
        <v>2417</v>
      </c>
      <c r="E1748" s="95">
        <v>4479</v>
      </c>
      <c r="F1748" s="35">
        <v>0</v>
      </c>
    </row>
    <row r="1749" spans="1:6" s="4" customFormat="1" ht="12">
      <c r="A1749" s="106">
        <v>240314</v>
      </c>
      <c r="B1749" s="119" t="s">
        <v>1086</v>
      </c>
      <c r="C1749" s="103" t="s">
        <v>646</v>
      </c>
      <c r="D1749" s="111" t="s">
        <v>2418</v>
      </c>
      <c r="E1749" s="95">
        <v>21935</v>
      </c>
      <c r="F1749" s="35">
        <v>0</v>
      </c>
    </row>
    <row r="1750" spans="1:6" s="4" customFormat="1" ht="12">
      <c r="A1750" s="106">
        <v>240314</v>
      </c>
      <c r="B1750" s="119" t="s">
        <v>1086</v>
      </c>
      <c r="C1750" s="103" t="s">
        <v>661</v>
      </c>
      <c r="D1750" s="111" t="s">
        <v>2419</v>
      </c>
      <c r="E1750" s="95">
        <v>8491</v>
      </c>
      <c r="F1750" s="35">
        <v>0</v>
      </c>
    </row>
    <row r="1751" spans="1:6" s="4" customFormat="1" ht="12">
      <c r="A1751" s="106">
        <v>240314</v>
      </c>
      <c r="B1751" s="119" t="s">
        <v>1086</v>
      </c>
      <c r="C1751" s="103" t="s">
        <v>668</v>
      </c>
      <c r="D1751" s="111" t="s">
        <v>2420</v>
      </c>
      <c r="E1751" s="95">
        <v>48401</v>
      </c>
      <c r="F1751" s="35">
        <v>0</v>
      </c>
    </row>
    <row r="1752" spans="1:6" s="4" customFormat="1" ht="12">
      <c r="A1752" s="106">
        <v>240314</v>
      </c>
      <c r="B1752" s="119" t="s">
        <v>1086</v>
      </c>
      <c r="C1752" s="103" t="s">
        <v>704</v>
      </c>
      <c r="D1752" s="111" t="s">
        <v>1278</v>
      </c>
      <c r="E1752" s="95">
        <v>35688</v>
      </c>
      <c r="F1752" s="35">
        <v>0</v>
      </c>
    </row>
    <row r="1753" spans="1:6" s="4" customFormat="1" ht="12">
      <c r="A1753" s="106">
        <v>240314</v>
      </c>
      <c r="B1753" s="119" t="s">
        <v>1086</v>
      </c>
      <c r="C1753" s="103" t="s">
        <v>714</v>
      </c>
      <c r="D1753" s="111" t="s">
        <v>2421</v>
      </c>
      <c r="E1753" s="95">
        <v>26609</v>
      </c>
      <c r="F1753" s="35">
        <v>0</v>
      </c>
    </row>
    <row r="1754" spans="1:6" s="4" customFormat="1" ht="12">
      <c r="A1754" s="106">
        <v>240314</v>
      </c>
      <c r="B1754" s="119" t="s">
        <v>1086</v>
      </c>
      <c r="C1754" s="103" t="s">
        <v>744</v>
      </c>
      <c r="D1754" s="111" t="s">
        <v>1113</v>
      </c>
      <c r="E1754" s="95">
        <v>12359</v>
      </c>
      <c r="F1754" s="35">
        <v>0</v>
      </c>
    </row>
    <row r="1755" spans="1:6" s="4" customFormat="1" ht="12">
      <c r="A1755" s="106">
        <v>240314</v>
      </c>
      <c r="B1755" s="119" t="s">
        <v>1086</v>
      </c>
      <c r="C1755" s="103" t="s">
        <v>751</v>
      </c>
      <c r="D1755" s="111" t="s">
        <v>2422</v>
      </c>
      <c r="E1755" s="95">
        <v>3491</v>
      </c>
      <c r="F1755" s="35">
        <v>0</v>
      </c>
    </row>
    <row r="1756" spans="1:6" s="4" customFormat="1" ht="12">
      <c r="A1756" s="106">
        <v>240314</v>
      </c>
      <c r="B1756" s="119" t="s">
        <v>1086</v>
      </c>
      <c r="C1756" s="103" t="s">
        <v>767</v>
      </c>
      <c r="D1756" s="111" t="s">
        <v>2423</v>
      </c>
      <c r="E1756" s="95">
        <v>48464</v>
      </c>
      <c r="F1756" s="35">
        <v>0</v>
      </c>
    </row>
    <row r="1757" spans="1:6" s="4" customFormat="1" ht="12">
      <c r="A1757" s="106">
        <v>240314</v>
      </c>
      <c r="B1757" s="119" t="s">
        <v>1086</v>
      </c>
      <c r="C1757" s="103" t="s">
        <v>771</v>
      </c>
      <c r="D1757" s="111" t="s">
        <v>2424</v>
      </c>
      <c r="E1757" s="95">
        <v>5836</v>
      </c>
      <c r="F1757" s="35">
        <v>0</v>
      </c>
    </row>
    <row r="1758" spans="1:6" s="4" customFormat="1" ht="12">
      <c r="A1758" s="106">
        <v>240314</v>
      </c>
      <c r="B1758" s="119" t="s">
        <v>1086</v>
      </c>
      <c r="C1758" s="103" t="s">
        <v>774</v>
      </c>
      <c r="D1758" s="111" t="s">
        <v>2425</v>
      </c>
      <c r="E1758" s="95">
        <v>5153</v>
      </c>
      <c r="F1758" s="35">
        <v>0</v>
      </c>
    </row>
    <row r="1759" spans="1:6" s="4" customFormat="1" ht="12">
      <c r="A1759" s="106">
        <v>240314</v>
      </c>
      <c r="B1759" s="119" t="s">
        <v>1086</v>
      </c>
      <c r="C1759" s="103" t="s">
        <v>791</v>
      </c>
      <c r="D1759" s="111" t="s">
        <v>2426</v>
      </c>
      <c r="E1759" s="95">
        <v>3891</v>
      </c>
      <c r="F1759" s="35">
        <v>0</v>
      </c>
    </row>
    <row r="1760" spans="1:6" s="4" customFormat="1" ht="12">
      <c r="A1760" s="106">
        <v>240314</v>
      </c>
      <c r="B1760" s="119" t="s">
        <v>1086</v>
      </c>
      <c r="C1760" s="103">
        <v>218968689</v>
      </c>
      <c r="D1760" s="111" t="s">
        <v>2427</v>
      </c>
      <c r="E1760" s="95">
        <v>39485</v>
      </c>
      <c r="F1760" s="35">
        <v>0</v>
      </c>
    </row>
    <row r="1761" spans="1:6" s="4" customFormat="1" ht="12">
      <c r="A1761" s="106">
        <v>240314</v>
      </c>
      <c r="B1761" s="119" t="s">
        <v>1086</v>
      </c>
      <c r="C1761" s="103" t="s">
        <v>2428</v>
      </c>
      <c r="D1761" s="111" t="s">
        <v>1298</v>
      </c>
      <c r="E1761" s="95">
        <v>2644</v>
      </c>
      <c r="F1761" s="35">
        <v>0</v>
      </c>
    </row>
    <row r="1762" spans="1:6" s="4" customFormat="1" ht="12">
      <c r="A1762" s="106">
        <v>240314</v>
      </c>
      <c r="B1762" s="119" t="s">
        <v>1086</v>
      </c>
      <c r="C1762" s="103" t="s">
        <v>812</v>
      </c>
      <c r="D1762" s="111" t="s">
        <v>2429</v>
      </c>
      <c r="E1762" s="95">
        <v>5271</v>
      </c>
      <c r="F1762" s="35">
        <v>0</v>
      </c>
    </row>
    <row r="1763" spans="1:6" s="4" customFormat="1" ht="12">
      <c r="A1763" s="106">
        <v>240314</v>
      </c>
      <c r="B1763" s="119" t="s">
        <v>1086</v>
      </c>
      <c r="C1763" s="103" t="s">
        <v>3258</v>
      </c>
      <c r="D1763" s="111" t="s">
        <v>2430</v>
      </c>
      <c r="E1763" s="95">
        <v>11489</v>
      </c>
      <c r="F1763" s="35">
        <v>0</v>
      </c>
    </row>
    <row r="1764" spans="1:6" s="4" customFormat="1" ht="12">
      <c r="A1764" s="106">
        <v>240314</v>
      </c>
      <c r="B1764" s="119" t="s">
        <v>1086</v>
      </c>
      <c r="C1764" s="103" t="s">
        <v>2431</v>
      </c>
      <c r="D1764" s="111" t="s">
        <v>2432</v>
      </c>
      <c r="E1764" s="95">
        <v>31766</v>
      </c>
      <c r="F1764" s="35">
        <v>0</v>
      </c>
    </row>
    <row r="1765" spans="1:6" s="4" customFormat="1" ht="12">
      <c r="A1765" s="106">
        <v>240314</v>
      </c>
      <c r="B1765" s="119" t="s">
        <v>1086</v>
      </c>
      <c r="C1765" s="103" t="s">
        <v>3286</v>
      </c>
      <c r="D1765" s="111" t="s">
        <v>2433</v>
      </c>
      <c r="E1765" s="95">
        <v>12022</v>
      </c>
      <c r="F1765" s="35">
        <v>0</v>
      </c>
    </row>
    <row r="1766" spans="1:6" s="4" customFormat="1" ht="12">
      <c r="A1766" s="106">
        <v>240314</v>
      </c>
      <c r="B1766" s="119" t="s">
        <v>1086</v>
      </c>
      <c r="C1766" s="103" t="s">
        <v>2434</v>
      </c>
      <c r="D1766" s="111" t="s">
        <v>1107</v>
      </c>
      <c r="E1766" s="95">
        <v>9895</v>
      </c>
      <c r="F1766" s="35">
        <v>0</v>
      </c>
    </row>
    <row r="1767" spans="1:6" s="4" customFormat="1" ht="12">
      <c r="A1767" s="106">
        <v>240314</v>
      </c>
      <c r="B1767" s="119" t="s">
        <v>1086</v>
      </c>
      <c r="C1767" s="103" t="s">
        <v>3299</v>
      </c>
      <c r="D1767" s="111" t="s">
        <v>2435</v>
      </c>
      <c r="E1767" s="95">
        <v>4308</v>
      </c>
      <c r="F1767" s="35">
        <v>0</v>
      </c>
    </row>
    <row r="1768" spans="1:6" s="4" customFormat="1" ht="12">
      <c r="A1768" s="106">
        <v>240314</v>
      </c>
      <c r="B1768" s="119" t="s">
        <v>1086</v>
      </c>
      <c r="C1768" s="103" t="s">
        <v>3355</v>
      </c>
      <c r="D1768" s="111" t="s">
        <v>2436</v>
      </c>
      <c r="E1768" s="95">
        <v>6277</v>
      </c>
      <c r="F1768" s="35">
        <v>0</v>
      </c>
    </row>
    <row r="1769" spans="1:6" s="4" customFormat="1" ht="12">
      <c r="A1769" s="106">
        <v>240314</v>
      </c>
      <c r="B1769" s="119" t="s">
        <v>1086</v>
      </c>
      <c r="C1769" s="103">
        <v>215568855</v>
      </c>
      <c r="D1769" s="111" t="s">
        <v>2437</v>
      </c>
      <c r="E1769" s="95">
        <v>5971</v>
      </c>
      <c r="F1769" s="35">
        <v>0</v>
      </c>
    </row>
    <row r="1770" spans="1:6" s="4" customFormat="1" ht="12">
      <c r="A1770" s="106">
        <v>240314</v>
      </c>
      <c r="B1770" s="119" t="s">
        <v>1086</v>
      </c>
      <c r="C1770" s="103" t="s">
        <v>3401</v>
      </c>
      <c r="D1770" s="111" t="s">
        <v>2438</v>
      </c>
      <c r="E1770" s="95">
        <v>24189</v>
      </c>
      <c r="F1770" s="35">
        <v>0</v>
      </c>
    </row>
    <row r="1771" spans="1:6" s="4" customFormat="1" ht="12">
      <c r="A1771" s="106">
        <v>240314</v>
      </c>
      <c r="B1771" s="119" t="s">
        <v>1086</v>
      </c>
      <c r="C1771" s="103" t="s">
        <v>3410</v>
      </c>
      <c r="D1771" s="111" t="s">
        <v>2439</v>
      </c>
      <c r="E1771" s="95">
        <v>1689</v>
      </c>
      <c r="F1771" s="35">
        <v>0</v>
      </c>
    </row>
    <row r="1772" spans="1:6" s="4" customFormat="1" ht="12">
      <c r="A1772" s="106">
        <v>240314</v>
      </c>
      <c r="B1772" s="119" t="s">
        <v>1086</v>
      </c>
      <c r="C1772" s="103" t="s">
        <v>1010</v>
      </c>
      <c r="D1772" s="111" t="s">
        <v>1423</v>
      </c>
      <c r="E1772" s="95">
        <v>6402</v>
      </c>
      <c r="F1772" s="35">
        <v>0</v>
      </c>
    </row>
    <row r="1773" spans="1:6" s="4" customFormat="1" ht="12">
      <c r="A1773" s="106">
        <v>240314</v>
      </c>
      <c r="B1773" s="119" t="s">
        <v>1086</v>
      </c>
      <c r="C1773" s="103" t="s">
        <v>2440</v>
      </c>
      <c r="D1773" s="111" t="s">
        <v>2441</v>
      </c>
      <c r="E1773" s="95">
        <v>8975</v>
      </c>
      <c r="F1773" s="35">
        <v>0</v>
      </c>
    </row>
    <row r="1774" spans="1:6" s="4" customFormat="1" ht="12">
      <c r="A1774" s="106">
        <v>240314</v>
      </c>
      <c r="B1774" s="119" t="s">
        <v>1086</v>
      </c>
      <c r="C1774" s="103">
        <v>211070110</v>
      </c>
      <c r="D1774" s="111" t="s">
        <v>1436</v>
      </c>
      <c r="E1774" s="95">
        <v>16891</v>
      </c>
      <c r="F1774" s="35">
        <v>0</v>
      </c>
    </row>
    <row r="1775" spans="1:6" s="4" customFormat="1" ht="12">
      <c r="A1775" s="106">
        <v>240314</v>
      </c>
      <c r="B1775" s="119" t="s">
        <v>1086</v>
      </c>
      <c r="C1775" s="103">
        <v>212470124</v>
      </c>
      <c r="D1775" s="111" t="s">
        <v>2442</v>
      </c>
      <c r="E1775" s="95">
        <v>24085</v>
      </c>
      <c r="F1775" s="35">
        <v>0</v>
      </c>
    </row>
    <row r="1776" spans="1:6" s="4" customFormat="1" ht="12">
      <c r="A1776" s="106">
        <v>240314</v>
      </c>
      <c r="B1776" s="119" t="s">
        <v>1086</v>
      </c>
      <c r="C1776" s="103">
        <v>210470204</v>
      </c>
      <c r="D1776" s="111" t="s">
        <v>2443</v>
      </c>
      <c r="E1776" s="95">
        <v>12238</v>
      </c>
      <c r="F1776" s="35">
        <v>0</v>
      </c>
    </row>
    <row r="1777" spans="1:6" s="4" customFormat="1" ht="12">
      <c r="A1777" s="106">
        <v>240314</v>
      </c>
      <c r="B1777" s="119" t="s">
        <v>1086</v>
      </c>
      <c r="C1777" s="103">
        <v>211570215</v>
      </c>
      <c r="D1777" s="111" t="s">
        <v>2444</v>
      </c>
      <c r="E1777" s="95">
        <v>81587</v>
      </c>
      <c r="F1777" s="35">
        <v>0</v>
      </c>
    </row>
    <row r="1778" spans="1:6" s="4" customFormat="1" ht="12">
      <c r="A1778" s="106">
        <v>240314</v>
      </c>
      <c r="B1778" s="119" t="s">
        <v>1086</v>
      </c>
      <c r="C1778" s="103" t="s">
        <v>2445</v>
      </c>
      <c r="D1778" s="111" t="s">
        <v>2446</v>
      </c>
      <c r="E1778" s="95">
        <v>21132</v>
      </c>
      <c r="F1778" s="35">
        <v>0</v>
      </c>
    </row>
    <row r="1779" spans="1:6" s="4" customFormat="1" ht="12">
      <c r="A1779" s="106">
        <v>240314</v>
      </c>
      <c r="B1779" s="119" t="s">
        <v>1086</v>
      </c>
      <c r="C1779" s="103">
        <v>213070230</v>
      </c>
      <c r="D1779" s="111" t="s">
        <v>2447</v>
      </c>
      <c r="E1779" s="95">
        <v>8173</v>
      </c>
      <c r="F1779" s="35">
        <v>0</v>
      </c>
    </row>
    <row r="1780" spans="1:6" s="4" customFormat="1" ht="12">
      <c r="A1780" s="106">
        <v>240314</v>
      </c>
      <c r="B1780" s="119" t="s">
        <v>1086</v>
      </c>
      <c r="C1780" s="103">
        <v>213370233</v>
      </c>
      <c r="D1780" s="111" t="s">
        <v>2448</v>
      </c>
      <c r="E1780" s="95">
        <v>13895</v>
      </c>
      <c r="F1780" s="35">
        <v>0</v>
      </c>
    </row>
    <row r="1781" spans="1:6" s="4" customFormat="1" ht="12">
      <c r="A1781" s="106">
        <v>240314</v>
      </c>
      <c r="B1781" s="119" t="s">
        <v>1086</v>
      </c>
      <c r="C1781" s="103">
        <v>213570235</v>
      </c>
      <c r="D1781" s="111" t="s">
        <v>2449</v>
      </c>
      <c r="E1781" s="95">
        <v>31019</v>
      </c>
      <c r="F1781" s="35">
        <v>0</v>
      </c>
    </row>
    <row r="1782" spans="1:6" s="4" customFormat="1" ht="12">
      <c r="A1782" s="106">
        <v>240314</v>
      </c>
      <c r="B1782" s="119" t="s">
        <v>1086</v>
      </c>
      <c r="C1782" s="103">
        <v>216570265</v>
      </c>
      <c r="D1782" s="111" t="s">
        <v>2450</v>
      </c>
      <c r="E1782" s="95">
        <v>30656</v>
      </c>
      <c r="F1782" s="35">
        <v>0</v>
      </c>
    </row>
    <row r="1783" spans="1:6" s="4" customFormat="1" ht="12">
      <c r="A1783" s="106">
        <v>240314</v>
      </c>
      <c r="B1783" s="119" t="s">
        <v>1086</v>
      </c>
      <c r="C1783" s="103">
        <v>210070400</v>
      </c>
      <c r="D1783" s="111" t="s">
        <v>1250</v>
      </c>
      <c r="E1783" s="95">
        <v>20610</v>
      </c>
      <c r="F1783" s="35">
        <v>0</v>
      </c>
    </row>
    <row r="1784" spans="1:6" s="4" customFormat="1" ht="12">
      <c r="A1784" s="106">
        <v>240314</v>
      </c>
      <c r="B1784" s="119" t="s">
        <v>1086</v>
      </c>
      <c r="C1784" s="103">
        <v>211870418</v>
      </c>
      <c r="D1784" s="111" t="s">
        <v>2451</v>
      </c>
      <c r="E1784" s="95">
        <v>37211</v>
      </c>
      <c r="F1784" s="35">
        <v>0</v>
      </c>
    </row>
    <row r="1785" spans="1:6" s="4" customFormat="1" ht="12">
      <c r="A1785" s="106">
        <v>240314</v>
      </c>
      <c r="B1785" s="119" t="s">
        <v>1086</v>
      </c>
      <c r="C1785" s="103">
        <v>212970429</v>
      </c>
      <c r="D1785" s="111" t="s">
        <v>2452</v>
      </c>
      <c r="E1785" s="95">
        <v>72600</v>
      </c>
      <c r="F1785" s="35">
        <v>0</v>
      </c>
    </row>
    <row r="1786" spans="1:6" s="4" customFormat="1" ht="12">
      <c r="A1786" s="106">
        <v>240314</v>
      </c>
      <c r="B1786" s="119" t="s">
        <v>1086</v>
      </c>
      <c r="C1786" s="103">
        <v>217370473</v>
      </c>
      <c r="D1786" s="111" t="s">
        <v>2453</v>
      </c>
      <c r="E1786" s="95">
        <v>19757</v>
      </c>
      <c r="F1786" s="35">
        <v>0</v>
      </c>
    </row>
    <row r="1787" spans="1:6" s="4" customFormat="1" ht="12">
      <c r="A1787" s="106">
        <v>240314</v>
      </c>
      <c r="B1787" s="119" t="s">
        <v>1086</v>
      </c>
      <c r="C1787" s="103">
        <v>210870508</v>
      </c>
      <c r="D1787" s="111" t="s">
        <v>2454</v>
      </c>
      <c r="E1787" s="95">
        <v>38891</v>
      </c>
      <c r="F1787" s="35">
        <v>0</v>
      </c>
    </row>
    <row r="1788" spans="1:6" s="4" customFormat="1" ht="12">
      <c r="A1788" s="106">
        <v>240314</v>
      </c>
      <c r="B1788" s="119" t="s">
        <v>1086</v>
      </c>
      <c r="C1788" s="103">
        <v>212370523</v>
      </c>
      <c r="D1788" s="111" t="s">
        <v>2455</v>
      </c>
      <c r="E1788" s="95">
        <v>24547</v>
      </c>
      <c r="F1788" s="35">
        <v>0</v>
      </c>
    </row>
    <row r="1789" spans="1:6" s="4" customFormat="1" ht="12">
      <c r="A1789" s="106">
        <v>240314</v>
      </c>
      <c r="B1789" s="119" t="s">
        <v>1086</v>
      </c>
      <c r="C1789" s="103">
        <v>217070670</v>
      </c>
      <c r="D1789" s="111" t="s">
        <v>2456</v>
      </c>
      <c r="E1789" s="95">
        <v>69011</v>
      </c>
      <c r="F1789" s="35">
        <v>0</v>
      </c>
    </row>
    <row r="1790" spans="1:6" s="4" customFormat="1" ht="12">
      <c r="A1790" s="106">
        <v>240314</v>
      </c>
      <c r="B1790" s="119" t="s">
        <v>1086</v>
      </c>
      <c r="C1790" s="103">
        <v>217870678</v>
      </c>
      <c r="D1790" s="111" t="s">
        <v>2457</v>
      </c>
      <c r="E1790" s="95">
        <v>47879</v>
      </c>
      <c r="F1790" s="35">
        <v>0</v>
      </c>
    </row>
    <row r="1791" spans="1:6" s="4" customFormat="1" ht="12">
      <c r="A1791" s="106">
        <v>240314</v>
      </c>
      <c r="B1791" s="119" t="s">
        <v>1086</v>
      </c>
      <c r="C1791" s="103">
        <v>210270702</v>
      </c>
      <c r="D1791" s="111" t="s">
        <v>2458</v>
      </c>
      <c r="E1791" s="95">
        <v>20006</v>
      </c>
      <c r="F1791" s="35">
        <v>0</v>
      </c>
    </row>
    <row r="1792" spans="1:6" s="4" customFormat="1" ht="12">
      <c r="A1792" s="106">
        <v>240314</v>
      </c>
      <c r="B1792" s="119" t="s">
        <v>1086</v>
      </c>
      <c r="C1792" s="103">
        <v>210870708</v>
      </c>
      <c r="D1792" s="111" t="s">
        <v>2459</v>
      </c>
      <c r="E1792" s="95">
        <v>81353</v>
      </c>
      <c r="F1792" s="35">
        <v>0</v>
      </c>
    </row>
    <row r="1793" spans="1:6" s="4" customFormat="1" ht="12">
      <c r="A1793" s="106">
        <v>240314</v>
      </c>
      <c r="B1793" s="119" t="s">
        <v>1086</v>
      </c>
      <c r="C1793" s="103">
        <v>211370713</v>
      </c>
      <c r="D1793" s="111" t="s">
        <v>2460</v>
      </c>
      <c r="E1793" s="95">
        <v>95719</v>
      </c>
      <c r="F1793" s="35">
        <v>0</v>
      </c>
    </row>
    <row r="1794" spans="1:6" s="4" customFormat="1" ht="12">
      <c r="A1794" s="106">
        <v>240314</v>
      </c>
      <c r="B1794" s="119" t="s">
        <v>1086</v>
      </c>
      <c r="C1794" s="103">
        <v>211770717</v>
      </c>
      <c r="D1794" s="111" t="s">
        <v>1292</v>
      </c>
      <c r="E1794" s="95">
        <v>29390</v>
      </c>
      <c r="F1794" s="35">
        <v>0</v>
      </c>
    </row>
    <row r="1795" spans="1:6" s="4" customFormat="1" ht="12">
      <c r="A1795" s="106">
        <v>240314</v>
      </c>
      <c r="B1795" s="119" t="s">
        <v>1086</v>
      </c>
      <c r="C1795" s="103">
        <v>214270742</v>
      </c>
      <c r="D1795" s="111" t="s">
        <v>2461</v>
      </c>
      <c r="E1795" s="95">
        <v>41634</v>
      </c>
      <c r="F1795" s="35">
        <v>0</v>
      </c>
    </row>
    <row r="1796" spans="1:6" s="4" customFormat="1" ht="12">
      <c r="A1796" s="106">
        <v>240314</v>
      </c>
      <c r="B1796" s="119" t="s">
        <v>1086</v>
      </c>
      <c r="C1796" s="103">
        <v>217170771</v>
      </c>
      <c r="D1796" s="111" t="s">
        <v>1107</v>
      </c>
      <c r="E1796" s="95">
        <v>50882</v>
      </c>
      <c r="F1796" s="35">
        <v>0</v>
      </c>
    </row>
    <row r="1797" spans="1:6" s="4" customFormat="1" ht="12">
      <c r="A1797" s="106">
        <v>240314</v>
      </c>
      <c r="B1797" s="119" t="s">
        <v>1086</v>
      </c>
      <c r="C1797" s="103">
        <v>212070820</v>
      </c>
      <c r="D1797" s="111" t="s">
        <v>2462</v>
      </c>
      <c r="E1797" s="95">
        <v>39491</v>
      </c>
      <c r="F1797" s="35">
        <v>0</v>
      </c>
    </row>
    <row r="1798" spans="1:6" s="4" customFormat="1" ht="12">
      <c r="A1798" s="106">
        <v>240314</v>
      </c>
      <c r="B1798" s="119" t="s">
        <v>1086</v>
      </c>
      <c r="C1798" s="103">
        <v>212370823</v>
      </c>
      <c r="D1798" s="111" t="s">
        <v>2463</v>
      </c>
      <c r="E1798" s="95">
        <v>34077</v>
      </c>
      <c r="F1798" s="35">
        <v>0</v>
      </c>
    </row>
    <row r="1799" spans="1:6" s="4" customFormat="1" ht="12">
      <c r="A1799" s="106">
        <v>240314</v>
      </c>
      <c r="B1799" s="119" t="s">
        <v>1086</v>
      </c>
      <c r="C1799" s="103">
        <v>212473024</v>
      </c>
      <c r="D1799" s="111" t="s">
        <v>2464</v>
      </c>
      <c r="E1799" s="95">
        <v>5809</v>
      </c>
      <c r="F1799" s="35">
        <v>0</v>
      </c>
    </row>
    <row r="1800" spans="1:6" s="4" customFormat="1" ht="12">
      <c r="A1800" s="106">
        <v>240314</v>
      </c>
      <c r="B1800" s="119" t="s">
        <v>1086</v>
      </c>
      <c r="C1800" s="103">
        <v>212673026</v>
      </c>
      <c r="D1800" s="111" t="s">
        <v>2465</v>
      </c>
      <c r="E1800" s="95">
        <v>10772</v>
      </c>
      <c r="F1800" s="35">
        <v>0</v>
      </c>
    </row>
    <row r="1801" spans="1:6" s="4" customFormat="1" ht="12">
      <c r="A1801" s="106">
        <v>240314</v>
      </c>
      <c r="B1801" s="119" t="s">
        <v>1086</v>
      </c>
      <c r="C1801" s="103">
        <v>213073030</v>
      </c>
      <c r="D1801" s="111" t="s">
        <v>2466</v>
      </c>
      <c r="E1801" s="95">
        <v>10221</v>
      </c>
      <c r="F1801" s="35">
        <v>0</v>
      </c>
    </row>
    <row r="1802" spans="1:6" s="4" customFormat="1" ht="12">
      <c r="A1802" s="106">
        <v>240314</v>
      </c>
      <c r="B1802" s="119" t="s">
        <v>1086</v>
      </c>
      <c r="C1802" s="103">
        <v>214373043</v>
      </c>
      <c r="D1802" s="111" t="s">
        <v>2467</v>
      </c>
      <c r="E1802" s="95">
        <v>12489</v>
      </c>
      <c r="F1802" s="35">
        <v>0</v>
      </c>
    </row>
    <row r="1803" spans="1:6" s="4" customFormat="1" ht="12">
      <c r="A1803" s="106">
        <v>240314</v>
      </c>
      <c r="B1803" s="119" t="s">
        <v>1086</v>
      </c>
      <c r="C1803" s="103">
        <v>215573055</v>
      </c>
      <c r="D1803" s="111" t="s">
        <v>2468</v>
      </c>
      <c r="E1803" s="95">
        <v>17463</v>
      </c>
      <c r="F1803" s="35">
        <v>0</v>
      </c>
    </row>
    <row r="1804" spans="1:6" s="4" customFormat="1" ht="12">
      <c r="A1804" s="106">
        <v>240314</v>
      </c>
      <c r="B1804" s="119" t="s">
        <v>1086</v>
      </c>
      <c r="C1804" s="103">
        <v>216773067</v>
      </c>
      <c r="D1804" s="111" t="s">
        <v>2469</v>
      </c>
      <c r="E1804" s="95">
        <v>31506</v>
      </c>
      <c r="F1804" s="35">
        <v>0</v>
      </c>
    </row>
    <row r="1805" spans="1:6" s="4" customFormat="1" ht="12">
      <c r="A1805" s="106">
        <v>240314</v>
      </c>
      <c r="B1805" s="119" t="s">
        <v>1086</v>
      </c>
      <c r="C1805" s="103">
        <v>212473124</v>
      </c>
      <c r="D1805" s="111" t="s">
        <v>2470</v>
      </c>
      <c r="E1805" s="95">
        <v>21965</v>
      </c>
      <c r="F1805" s="35">
        <v>0</v>
      </c>
    </row>
    <row r="1806" spans="1:6" s="4" customFormat="1" ht="12">
      <c r="A1806" s="106">
        <v>240314</v>
      </c>
      <c r="B1806" s="119" t="s">
        <v>1086</v>
      </c>
      <c r="C1806" s="103">
        <v>214873148</v>
      </c>
      <c r="D1806" s="111" t="s">
        <v>2471</v>
      </c>
      <c r="E1806" s="95">
        <v>9344</v>
      </c>
      <c r="F1806" s="35">
        <v>0</v>
      </c>
    </row>
    <row r="1807" spans="1:6" s="4" customFormat="1" ht="12">
      <c r="A1807" s="106">
        <v>240314</v>
      </c>
      <c r="B1807" s="119" t="s">
        <v>1086</v>
      </c>
      <c r="C1807" s="103">
        <v>215273152</v>
      </c>
      <c r="D1807" s="111" t="s">
        <v>2472</v>
      </c>
      <c r="E1807" s="95">
        <v>8019</v>
      </c>
      <c r="F1807" s="35">
        <v>0</v>
      </c>
    </row>
    <row r="1808" spans="1:6" s="4" customFormat="1" ht="12">
      <c r="A1808" s="106">
        <v>240314</v>
      </c>
      <c r="B1808" s="119" t="s">
        <v>1086</v>
      </c>
      <c r="C1808" s="103">
        <v>216873168</v>
      </c>
      <c r="D1808" s="111" t="s">
        <v>2473</v>
      </c>
      <c r="E1808" s="95">
        <v>66824</v>
      </c>
      <c r="F1808" s="35">
        <v>0</v>
      </c>
    </row>
    <row r="1809" spans="1:6" s="4" customFormat="1" ht="12">
      <c r="A1809" s="106">
        <v>240314</v>
      </c>
      <c r="B1809" s="119" t="s">
        <v>1086</v>
      </c>
      <c r="C1809" s="103">
        <v>210073200</v>
      </c>
      <c r="D1809" s="111" t="s">
        <v>2474</v>
      </c>
      <c r="E1809" s="95">
        <v>11384</v>
      </c>
      <c r="F1809" s="35">
        <v>0</v>
      </c>
    </row>
    <row r="1810" spans="1:6" s="4" customFormat="1" ht="12">
      <c r="A1810" s="106">
        <v>240314</v>
      </c>
      <c r="B1810" s="119" t="s">
        <v>1086</v>
      </c>
      <c r="C1810" s="103">
        <v>211773217</v>
      </c>
      <c r="D1810" s="111" t="s">
        <v>2475</v>
      </c>
      <c r="E1810" s="95">
        <v>54154</v>
      </c>
      <c r="F1810" s="35">
        <v>0</v>
      </c>
    </row>
    <row r="1811" spans="1:6" s="4" customFormat="1" ht="12">
      <c r="A1811" s="106">
        <v>240314</v>
      </c>
      <c r="B1811" s="119" t="s">
        <v>1086</v>
      </c>
      <c r="C1811" s="103">
        <v>212673226</v>
      </c>
      <c r="D1811" s="111" t="s">
        <v>2476</v>
      </c>
      <c r="E1811" s="95">
        <v>12783</v>
      </c>
      <c r="F1811" s="35">
        <v>0</v>
      </c>
    </row>
    <row r="1812" spans="1:6" s="4" customFormat="1" ht="12">
      <c r="A1812" s="106">
        <v>240314</v>
      </c>
      <c r="B1812" s="119" t="s">
        <v>1086</v>
      </c>
      <c r="C1812" s="103">
        <v>213673236</v>
      </c>
      <c r="D1812" s="111" t="s">
        <v>2477</v>
      </c>
      <c r="E1812" s="95">
        <v>10882</v>
      </c>
      <c r="F1812" s="35">
        <v>0</v>
      </c>
    </row>
    <row r="1813" spans="1:6" s="4" customFormat="1" ht="12">
      <c r="A1813" s="106">
        <v>240314</v>
      </c>
      <c r="B1813" s="119" t="s">
        <v>1086</v>
      </c>
      <c r="C1813" s="103">
        <v>216873268</v>
      </c>
      <c r="D1813" s="111" t="s">
        <v>2478</v>
      </c>
      <c r="E1813" s="95">
        <v>75139</v>
      </c>
      <c r="F1813" s="35">
        <v>0</v>
      </c>
    </row>
    <row r="1814" spans="1:6" s="4" customFormat="1" ht="12">
      <c r="A1814" s="106">
        <v>240314</v>
      </c>
      <c r="B1814" s="119" t="s">
        <v>1086</v>
      </c>
      <c r="C1814" s="103">
        <v>217073270</v>
      </c>
      <c r="D1814" s="111" t="s">
        <v>2479</v>
      </c>
      <c r="E1814" s="95">
        <v>10723</v>
      </c>
      <c r="F1814" s="35">
        <v>0</v>
      </c>
    </row>
    <row r="1815" spans="1:6" s="4" customFormat="1" ht="12">
      <c r="A1815" s="106">
        <v>240314</v>
      </c>
      <c r="B1815" s="119" t="s">
        <v>1086</v>
      </c>
      <c r="C1815" s="103">
        <v>217573275</v>
      </c>
      <c r="D1815" s="111" t="s">
        <v>2480</v>
      </c>
      <c r="E1815" s="95">
        <v>28229</v>
      </c>
      <c r="F1815" s="35">
        <v>0</v>
      </c>
    </row>
    <row r="1816" spans="1:6" s="4" customFormat="1" ht="12">
      <c r="A1816" s="106">
        <v>240314</v>
      </c>
      <c r="B1816" s="119" t="s">
        <v>1086</v>
      </c>
      <c r="C1816" s="103">
        <v>218373283</v>
      </c>
      <c r="D1816" s="111" t="s">
        <v>2481</v>
      </c>
      <c r="E1816" s="95">
        <v>36981</v>
      </c>
      <c r="F1816" s="35">
        <v>0</v>
      </c>
    </row>
    <row r="1817" spans="1:6" s="4" customFormat="1" ht="12">
      <c r="A1817" s="106">
        <v>240314</v>
      </c>
      <c r="B1817" s="119" t="s">
        <v>1086</v>
      </c>
      <c r="C1817" s="103">
        <v>211973319</v>
      </c>
      <c r="D1817" s="111" t="s">
        <v>2482</v>
      </c>
      <c r="E1817" s="95">
        <v>41434</v>
      </c>
      <c r="F1817" s="35">
        <v>0</v>
      </c>
    </row>
    <row r="1818" spans="1:6" s="4" customFormat="1" ht="12">
      <c r="A1818" s="106">
        <v>240314</v>
      </c>
      <c r="B1818" s="119" t="s">
        <v>1086</v>
      </c>
      <c r="C1818" s="103">
        <v>214773347</v>
      </c>
      <c r="D1818" s="111" t="s">
        <v>2483</v>
      </c>
      <c r="E1818" s="95">
        <v>9497</v>
      </c>
      <c r="F1818" s="35">
        <v>0</v>
      </c>
    </row>
    <row r="1819" spans="1:6" s="4" customFormat="1" ht="12">
      <c r="A1819" s="106">
        <v>240314</v>
      </c>
      <c r="B1819" s="119" t="s">
        <v>1086</v>
      </c>
      <c r="C1819" s="103">
        <v>214973349</v>
      </c>
      <c r="D1819" s="111" t="s">
        <v>2484</v>
      </c>
      <c r="E1819" s="95">
        <v>31251</v>
      </c>
      <c r="F1819" s="35">
        <v>0</v>
      </c>
    </row>
    <row r="1820" spans="1:6" s="4" customFormat="1" ht="12">
      <c r="A1820" s="106">
        <v>240314</v>
      </c>
      <c r="B1820" s="119" t="s">
        <v>1086</v>
      </c>
      <c r="C1820" s="103">
        <v>215273352</v>
      </c>
      <c r="D1820" s="111" t="s">
        <v>2485</v>
      </c>
      <c r="E1820" s="95">
        <v>16429</v>
      </c>
      <c r="F1820" s="35">
        <v>0</v>
      </c>
    </row>
    <row r="1821" spans="1:6" s="4" customFormat="1" ht="12">
      <c r="A1821" s="106">
        <v>240314</v>
      </c>
      <c r="B1821" s="119" t="s">
        <v>1086</v>
      </c>
      <c r="C1821" s="103">
        <v>210873408</v>
      </c>
      <c r="D1821" s="111" t="s">
        <v>2486</v>
      </c>
      <c r="E1821" s="95">
        <v>22101</v>
      </c>
      <c r="F1821" s="35">
        <v>0</v>
      </c>
    </row>
    <row r="1822" spans="1:6" s="4" customFormat="1" ht="12">
      <c r="A1822" s="106">
        <v>240314</v>
      </c>
      <c r="B1822" s="119" t="s">
        <v>1086</v>
      </c>
      <c r="C1822" s="103">
        <v>211173411</v>
      </c>
      <c r="D1822" s="111" t="s">
        <v>2487</v>
      </c>
      <c r="E1822" s="95">
        <v>50002</v>
      </c>
      <c r="F1822" s="35">
        <v>0</v>
      </c>
    </row>
    <row r="1823" spans="1:6" s="4" customFormat="1" ht="12">
      <c r="A1823" s="106">
        <v>240314</v>
      </c>
      <c r="B1823" s="119" t="s">
        <v>1086</v>
      </c>
      <c r="C1823" s="103">
        <v>214373443</v>
      </c>
      <c r="D1823" s="111" t="s">
        <v>2488</v>
      </c>
      <c r="E1823" s="95">
        <v>38910</v>
      </c>
      <c r="F1823" s="35">
        <v>0</v>
      </c>
    </row>
    <row r="1824" spans="1:6" s="4" customFormat="1" ht="12">
      <c r="A1824" s="106">
        <v>240314</v>
      </c>
      <c r="B1824" s="119" t="s">
        <v>1086</v>
      </c>
      <c r="C1824" s="103">
        <v>214973449</v>
      </c>
      <c r="D1824" s="111" t="s">
        <v>2489</v>
      </c>
      <c r="E1824" s="95">
        <v>40900</v>
      </c>
      <c r="F1824" s="35">
        <v>0</v>
      </c>
    </row>
    <row r="1825" spans="1:6" s="4" customFormat="1" ht="12">
      <c r="A1825" s="106">
        <v>240314</v>
      </c>
      <c r="B1825" s="119" t="s">
        <v>1086</v>
      </c>
      <c r="C1825" s="103">
        <v>216173461</v>
      </c>
      <c r="D1825" s="111" t="s">
        <v>2490</v>
      </c>
      <c r="E1825" s="95">
        <v>6319</v>
      </c>
      <c r="F1825" s="35">
        <v>0</v>
      </c>
    </row>
    <row r="1826" spans="1:6" s="4" customFormat="1" ht="12">
      <c r="A1826" s="106">
        <v>240314</v>
      </c>
      <c r="B1826" s="119" t="s">
        <v>1086</v>
      </c>
      <c r="C1826" s="103">
        <v>218373483</v>
      </c>
      <c r="D1826" s="111" t="s">
        <v>2491</v>
      </c>
      <c r="E1826" s="95">
        <v>24210</v>
      </c>
      <c r="F1826" s="35">
        <v>0</v>
      </c>
    </row>
    <row r="1827" spans="1:6" s="4" customFormat="1" ht="12">
      <c r="A1827" s="106">
        <v>240314</v>
      </c>
      <c r="B1827" s="119" t="s">
        <v>1086</v>
      </c>
      <c r="C1827" s="103">
        <v>210473504</v>
      </c>
      <c r="D1827" s="111" t="s">
        <v>2492</v>
      </c>
      <c r="E1827" s="95">
        <v>55134</v>
      </c>
      <c r="F1827" s="35">
        <v>0</v>
      </c>
    </row>
    <row r="1828" spans="1:6" s="4" customFormat="1" ht="12">
      <c r="A1828" s="106">
        <v>240314</v>
      </c>
      <c r="B1828" s="119" t="s">
        <v>1086</v>
      </c>
      <c r="C1828" s="103">
        <v>212073520</v>
      </c>
      <c r="D1828" s="111" t="s">
        <v>2493</v>
      </c>
      <c r="E1828" s="95">
        <v>10980</v>
      </c>
      <c r="F1828" s="35">
        <v>0</v>
      </c>
    </row>
    <row r="1829" spans="1:6" s="4" customFormat="1" ht="12">
      <c r="A1829" s="106">
        <v>240314</v>
      </c>
      <c r="B1829" s="119" t="s">
        <v>1086</v>
      </c>
      <c r="C1829" s="103">
        <v>214773547</v>
      </c>
      <c r="D1829" s="111" t="s">
        <v>2494</v>
      </c>
      <c r="E1829" s="95">
        <v>6294</v>
      </c>
      <c r="F1829" s="35">
        <v>0</v>
      </c>
    </row>
    <row r="1830" spans="1:6" s="4" customFormat="1" ht="12">
      <c r="A1830" s="106">
        <v>240314</v>
      </c>
      <c r="B1830" s="119" t="s">
        <v>1086</v>
      </c>
      <c r="C1830" s="103">
        <v>215573555</v>
      </c>
      <c r="D1830" s="111" t="s">
        <v>2495</v>
      </c>
      <c r="E1830" s="95">
        <v>44707</v>
      </c>
      <c r="F1830" s="35">
        <v>0</v>
      </c>
    </row>
    <row r="1831" spans="1:6" s="4" customFormat="1" ht="12">
      <c r="A1831" s="106">
        <v>240314</v>
      </c>
      <c r="B1831" s="119" t="s">
        <v>1086</v>
      </c>
      <c r="C1831" s="103">
        <v>216373563</v>
      </c>
      <c r="D1831" s="111" t="s">
        <v>2496</v>
      </c>
      <c r="E1831" s="95">
        <v>11957</v>
      </c>
      <c r="F1831" s="35">
        <v>0</v>
      </c>
    </row>
    <row r="1832" spans="1:6" s="4" customFormat="1" ht="12">
      <c r="A1832" s="106">
        <v>240314</v>
      </c>
      <c r="B1832" s="119" t="s">
        <v>1086</v>
      </c>
      <c r="C1832" s="103">
        <v>218573585</v>
      </c>
      <c r="D1832" s="111" t="s">
        <v>2497</v>
      </c>
      <c r="E1832" s="95">
        <v>28192</v>
      </c>
      <c r="F1832" s="35">
        <v>0</v>
      </c>
    </row>
    <row r="1833" spans="1:6" s="4" customFormat="1" ht="12">
      <c r="A1833" s="106">
        <v>240314</v>
      </c>
      <c r="B1833" s="119" t="s">
        <v>1086</v>
      </c>
      <c r="C1833" s="103">
        <v>211673616</v>
      </c>
      <c r="D1833" s="111" t="s">
        <v>2498</v>
      </c>
      <c r="E1833" s="95">
        <v>38854</v>
      </c>
      <c r="F1833" s="35">
        <v>0</v>
      </c>
    </row>
    <row r="1834" spans="1:6" s="4" customFormat="1" ht="12">
      <c r="A1834" s="106">
        <v>240314</v>
      </c>
      <c r="B1834" s="119" t="s">
        <v>1086</v>
      </c>
      <c r="C1834" s="103">
        <v>212273622</v>
      </c>
      <c r="D1834" s="111" t="s">
        <v>2499</v>
      </c>
      <c r="E1834" s="95">
        <v>7751</v>
      </c>
      <c r="F1834" s="35">
        <v>0</v>
      </c>
    </row>
    <row r="1835" spans="1:6" s="4" customFormat="1" ht="12">
      <c r="A1835" s="106">
        <v>240314</v>
      </c>
      <c r="B1835" s="119" t="s">
        <v>1086</v>
      </c>
      <c r="C1835" s="103">
        <v>212473624</v>
      </c>
      <c r="D1835" s="111" t="s">
        <v>2500</v>
      </c>
      <c r="E1835" s="95">
        <v>31079</v>
      </c>
      <c r="F1835" s="35">
        <v>0</v>
      </c>
    </row>
    <row r="1836" spans="1:6" s="4" customFormat="1" ht="12">
      <c r="A1836" s="106">
        <v>240314</v>
      </c>
      <c r="B1836" s="119" t="s">
        <v>1086</v>
      </c>
      <c r="C1836" s="103">
        <v>217173671</v>
      </c>
      <c r="D1836" s="111" t="s">
        <v>2501</v>
      </c>
      <c r="E1836" s="95">
        <v>16528</v>
      </c>
      <c r="F1836" s="35">
        <v>0</v>
      </c>
    </row>
    <row r="1837" spans="1:6" s="4" customFormat="1" ht="12">
      <c r="A1837" s="106">
        <v>240314</v>
      </c>
      <c r="B1837" s="119" t="s">
        <v>1086</v>
      </c>
      <c r="C1837" s="103">
        <v>217573675</v>
      </c>
      <c r="D1837" s="111" t="s">
        <v>2502</v>
      </c>
      <c r="E1837" s="95">
        <v>20416</v>
      </c>
      <c r="F1837" s="35">
        <v>0</v>
      </c>
    </row>
    <row r="1838" spans="1:6" s="4" customFormat="1" ht="12">
      <c r="A1838" s="106">
        <v>240314</v>
      </c>
      <c r="B1838" s="119" t="s">
        <v>1086</v>
      </c>
      <c r="C1838" s="103">
        <v>217873678</v>
      </c>
      <c r="D1838" s="111" t="s">
        <v>1291</v>
      </c>
      <c r="E1838" s="95">
        <v>17576</v>
      </c>
      <c r="F1838" s="35">
        <v>0</v>
      </c>
    </row>
    <row r="1839" spans="1:6" s="4" customFormat="1" ht="12">
      <c r="A1839" s="106">
        <v>240314</v>
      </c>
      <c r="B1839" s="119" t="s">
        <v>1086</v>
      </c>
      <c r="C1839" s="103">
        <v>218673686</v>
      </c>
      <c r="D1839" s="111" t="s">
        <v>2503</v>
      </c>
      <c r="E1839" s="95">
        <v>9454</v>
      </c>
      <c r="F1839" s="35">
        <v>0</v>
      </c>
    </row>
    <row r="1840" spans="1:6" s="4" customFormat="1" ht="12">
      <c r="A1840" s="106">
        <v>240314</v>
      </c>
      <c r="B1840" s="119" t="s">
        <v>1086</v>
      </c>
      <c r="C1840" s="103">
        <v>217073770</v>
      </c>
      <c r="D1840" s="111" t="s">
        <v>1888</v>
      </c>
      <c r="E1840" s="95">
        <v>5904</v>
      </c>
      <c r="F1840" s="35">
        <v>0</v>
      </c>
    </row>
    <row r="1841" spans="1:6" s="4" customFormat="1" ht="12">
      <c r="A1841" s="106">
        <v>240314</v>
      </c>
      <c r="B1841" s="119" t="s">
        <v>1086</v>
      </c>
      <c r="C1841" s="103">
        <v>215473854</v>
      </c>
      <c r="D1841" s="111" t="s">
        <v>2504</v>
      </c>
      <c r="E1841" s="95">
        <v>7145</v>
      </c>
      <c r="F1841" s="35">
        <v>0</v>
      </c>
    </row>
    <row r="1842" spans="1:6" s="4" customFormat="1" ht="12">
      <c r="A1842" s="106">
        <v>240314</v>
      </c>
      <c r="B1842" s="119" t="s">
        <v>1086</v>
      </c>
      <c r="C1842" s="103">
        <v>216173861</v>
      </c>
      <c r="D1842" s="111" t="s">
        <v>0</v>
      </c>
      <c r="E1842" s="95">
        <v>17073</v>
      </c>
      <c r="F1842" s="35">
        <v>0</v>
      </c>
    </row>
    <row r="1843" spans="1:6" s="4" customFormat="1" ht="12">
      <c r="A1843" s="106">
        <v>240314</v>
      </c>
      <c r="B1843" s="119" t="s">
        <v>1086</v>
      </c>
      <c r="C1843" s="103">
        <v>217073870</v>
      </c>
      <c r="D1843" s="111" t="s">
        <v>1</v>
      </c>
      <c r="E1843" s="95">
        <v>13491</v>
      </c>
      <c r="F1843" s="35">
        <v>0</v>
      </c>
    </row>
    <row r="1844" spans="1:6" s="4" customFormat="1" ht="12">
      <c r="A1844" s="106">
        <v>240314</v>
      </c>
      <c r="B1844" s="119" t="s">
        <v>1086</v>
      </c>
      <c r="C1844" s="103">
        <v>217373873</v>
      </c>
      <c r="D1844" s="111" t="s">
        <v>2</v>
      </c>
      <c r="E1844" s="95">
        <v>7366</v>
      </c>
      <c r="F1844" s="35">
        <v>0</v>
      </c>
    </row>
    <row r="1845" spans="1:6" s="4" customFormat="1" ht="12">
      <c r="A1845" s="106">
        <v>240314</v>
      </c>
      <c r="B1845" s="119" t="s">
        <v>1086</v>
      </c>
      <c r="C1845" s="103">
        <v>212076020</v>
      </c>
      <c r="D1845" s="111" t="s">
        <v>3</v>
      </c>
      <c r="E1845" s="95">
        <v>18257</v>
      </c>
      <c r="F1845" s="35">
        <v>0</v>
      </c>
    </row>
    <row r="1846" spans="1:6" s="4" customFormat="1" ht="12">
      <c r="A1846" s="106">
        <v>240314</v>
      </c>
      <c r="B1846" s="119" t="s">
        <v>1086</v>
      </c>
      <c r="C1846" s="103">
        <v>213676036</v>
      </c>
      <c r="D1846" s="111" t="s">
        <v>4</v>
      </c>
      <c r="E1846" s="95">
        <v>22908</v>
      </c>
      <c r="F1846" s="35">
        <v>0</v>
      </c>
    </row>
    <row r="1847" spans="1:6" s="4" customFormat="1" ht="12">
      <c r="A1847" s="106">
        <v>240314</v>
      </c>
      <c r="B1847" s="119" t="s">
        <v>1086</v>
      </c>
      <c r="C1847" s="103">
        <v>214176041</v>
      </c>
      <c r="D1847" s="111" t="s">
        <v>5</v>
      </c>
      <c r="E1847" s="95">
        <v>20762</v>
      </c>
      <c r="F1847" s="35">
        <v>0</v>
      </c>
    </row>
    <row r="1848" spans="1:6" s="4" customFormat="1" ht="12">
      <c r="A1848" s="106">
        <v>240314</v>
      </c>
      <c r="B1848" s="119" t="s">
        <v>1086</v>
      </c>
      <c r="C1848" s="103">
        <v>215476054</v>
      </c>
      <c r="D1848" s="111" t="s">
        <v>1187</v>
      </c>
      <c r="E1848" s="95">
        <v>7455</v>
      </c>
      <c r="F1848" s="35">
        <v>0</v>
      </c>
    </row>
    <row r="1849" spans="1:6" s="4" customFormat="1" ht="12">
      <c r="A1849" s="106">
        <v>240314</v>
      </c>
      <c r="B1849" s="119" t="s">
        <v>1086</v>
      </c>
      <c r="C1849" s="103">
        <v>210076100</v>
      </c>
      <c r="D1849" s="111" t="s">
        <v>1089</v>
      </c>
      <c r="E1849" s="95">
        <v>19540</v>
      </c>
      <c r="F1849" s="35">
        <v>0</v>
      </c>
    </row>
    <row r="1850" spans="1:6" s="4" customFormat="1" ht="12">
      <c r="A1850" s="106">
        <v>240314</v>
      </c>
      <c r="B1850" s="119" t="s">
        <v>1086</v>
      </c>
      <c r="C1850" s="103">
        <v>211376113</v>
      </c>
      <c r="D1850" s="111" t="s">
        <v>6</v>
      </c>
      <c r="E1850" s="95">
        <v>40130</v>
      </c>
      <c r="F1850" s="35">
        <v>0</v>
      </c>
    </row>
    <row r="1851" spans="1:6" s="4" customFormat="1" ht="12">
      <c r="A1851" s="106">
        <v>240314</v>
      </c>
      <c r="B1851" s="119" t="s">
        <v>1086</v>
      </c>
      <c r="C1851" s="103">
        <v>212276122</v>
      </c>
      <c r="D1851" s="111" t="s">
        <v>7</v>
      </c>
      <c r="E1851" s="95">
        <v>35026</v>
      </c>
      <c r="F1851" s="35">
        <v>0</v>
      </c>
    </row>
    <row r="1852" spans="1:6" s="4" customFormat="1" ht="12">
      <c r="A1852" s="106">
        <v>240314</v>
      </c>
      <c r="B1852" s="119" t="s">
        <v>1086</v>
      </c>
      <c r="C1852" s="103">
        <v>212676126</v>
      </c>
      <c r="D1852" s="111" t="s">
        <v>8</v>
      </c>
      <c r="E1852" s="95">
        <v>19702</v>
      </c>
      <c r="F1852" s="35">
        <v>0</v>
      </c>
    </row>
    <row r="1853" spans="1:6" s="4" customFormat="1" ht="12">
      <c r="A1853" s="106">
        <v>240314</v>
      </c>
      <c r="B1853" s="119" t="s">
        <v>1086</v>
      </c>
      <c r="C1853" s="103">
        <v>213076130</v>
      </c>
      <c r="D1853" s="111" t="s">
        <v>1333</v>
      </c>
      <c r="E1853" s="95">
        <v>68624</v>
      </c>
      <c r="F1853" s="35">
        <v>0</v>
      </c>
    </row>
    <row r="1854" spans="1:6" s="4" customFormat="1" ht="12">
      <c r="A1854" s="106">
        <v>240314</v>
      </c>
      <c r="B1854" s="119" t="s">
        <v>1086</v>
      </c>
      <c r="C1854" s="103">
        <v>213376233</v>
      </c>
      <c r="D1854" s="111" t="s">
        <v>9</v>
      </c>
      <c r="E1854" s="95">
        <v>38600</v>
      </c>
      <c r="F1854" s="35">
        <v>0</v>
      </c>
    </row>
    <row r="1855" spans="1:6" s="4" customFormat="1" ht="12">
      <c r="A1855" s="106">
        <v>240314</v>
      </c>
      <c r="B1855" s="119" t="s">
        <v>1086</v>
      </c>
      <c r="C1855" s="103">
        <v>214376243</v>
      </c>
      <c r="D1855" s="111" t="s">
        <v>10</v>
      </c>
      <c r="E1855" s="95">
        <v>11630</v>
      </c>
      <c r="F1855" s="35">
        <v>0</v>
      </c>
    </row>
    <row r="1856" spans="1:6" s="4" customFormat="1" ht="12">
      <c r="A1856" s="106">
        <v>240314</v>
      </c>
      <c r="B1856" s="119" t="s">
        <v>1086</v>
      </c>
      <c r="C1856" s="103">
        <v>214676246</v>
      </c>
      <c r="D1856" s="111" t="s">
        <v>11</v>
      </c>
      <c r="E1856" s="95">
        <v>9648</v>
      </c>
      <c r="F1856" s="35">
        <v>0</v>
      </c>
    </row>
    <row r="1857" spans="1:6" s="4" customFormat="1" ht="12">
      <c r="A1857" s="106">
        <v>240314</v>
      </c>
      <c r="B1857" s="119" t="s">
        <v>1086</v>
      </c>
      <c r="C1857" s="103">
        <v>214876248</v>
      </c>
      <c r="D1857" s="111" t="s">
        <v>12</v>
      </c>
      <c r="E1857" s="95">
        <v>50485</v>
      </c>
      <c r="F1857" s="35">
        <v>0</v>
      </c>
    </row>
    <row r="1858" spans="1:6" s="4" customFormat="1" ht="12">
      <c r="A1858" s="106">
        <v>240314</v>
      </c>
      <c r="B1858" s="119" t="s">
        <v>1086</v>
      </c>
      <c r="C1858" s="103">
        <v>215076250</v>
      </c>
      <c r="D1858" s="111" t="s">
        <v>13</v>
      </c>
      <c r="E1858" s="95">
        <v>18321</v>
      </c>
      <c r="F1858" s="35">
        <v>0</v>
      </c>
    </row>
    <row r="1859" spans="1:6" s="4" customFormat="1" ht="12">
      <c r="A1859" s="106">
        <v>240314</v>
      </c>
      <c r="B1859" s="119" t="s">
        <v>1086</v>
      </c>
      <c r="C1859" s="103">
        <v>217576275</v>
      </c>
      <c r="D1859" s="111" t="s">
        <v>14</v>
      </c>
      <c r="E1859" s="95">
        <v>61686</v>
      </c>
      <c r="F1859" s="35">
        <v>0</v>
      </c>
    </row>
    <row r="1860" spans="1:6" s="4" customFormat="1" ht="12">
      <c r="A1860" s="106">
        <v>240314</v>
      </c>
      <c r="B1860" s="119" t="s">
        <v>1086</v>
      </c>
      <c r="C1860" s="103">
        <v>210676306</v>
      </c>
      <c r="D1860" s="111" t="s">
        <v>15</v>
      </c>
      <c r="E1860" s="95">
        <v>19829</v>
      </c>
      <c r="F1860" s="35">
        <v>0</v>
      </c>
    </row>
    <row r="1861" spans="1:6" s="4" customFormat="1" ht="12">
      <c r="A1861" s="106">
        <v>240314</v>
      </c>
      <c r="B1861" s="119" t="s">
        <v>1086</v>
      </c>
      <c r="C1861" s="103">
        <v>211876318</v>
      </c>
      <c r="D1861" s="111" t="s">
        <v>16</v>
      </c>
      <c r="E1861" s="95">
        <v>34240</v>
      </c>
      <c r="F1861" s="35">
        <v>0</v>
      </c>
    </row>
    <row r="1862" spans="1:6" s="4" customFormat="1" ht="12">
      <c r="A1862" s="106">
        <v>240314</v>
      </c>
      <c r="B1862" s="119" t="s">
        <v>1086</v>
      </c>
      <c r="C1862" s="103">
        <v>216476364</v>
      </c>
      <c r="D1862" s="111" t="s">
        <v>17</v>
      </c>
      <c r="E1862" s="95">
        <v>77199</v>
      </c>
      <c r="F1862" s="35">
        <v>0</v>
      </c>
    </row>
    <row r="1863" spans="1:6" s="4" customFormat="1" ht="12">
      <c r="A1863" s="106">
        <v>240314</v>
      </c>
      <c r="B1863" s="119" t="s">
        <v>1086</v>
      </c>
      <c r="C1863" s="103">
        <v>217776377</v>
      </c>
      <c r="D1863" s="111" t="s">
        <v>18</v>
      </c>
      <c r="E1863" s="95">
        <v>13595</v>
      </c>
      <c r="F1863" s="35">
        <v>0</v>
      </c>
    </row>
    <row r="1864" spans="1:6" s="4" customFormat="1" ht="12">
      <c r="A1864" s="106">
        <v>240314</v>
      </c>
      <c r="B1864" s="119" t="s">
        <v>1086</v>
      </c>
      <c r="C1864" s="103">
        <v>210076400</v>
      </c>
      <c r="D1864" s="111" t="s">
        <v>1250</v>
      </c>
      <c r="E1864" s="95">
        <v>36353</v>
      </c>
      <c r="F1864" s="35">
        <v>0</v>
      </c>
    </row>
    <row r="1865" spans="1:6" s="4" customFormat="1" ht="12">
      <c r="A1865" s="106">
        <v>240314</v>
      </c>
      <c r="B1865" s="119" t="s">
        <v>1086</v>
      </c>
      <c r="C1865" s="103">
        <v>210376403</v>
      </c>
      <c r="D1865" s="111" t="s">
        <v>1474</v>
      </c>
      <c r="E1865" s="95">
        <v>17753</v>
      </c>
      <c r="F1865" s="35">
        <v>0</v>
      </c>
    </row>
    <row r="1866" spans="1:6" s="4" customFormat="1" ht="12">
      <c r="A1866" s="106">
        <v>240314</v>
      </c>
      <c r="B1866" s="119" t="s">
        <v>1086</v>
      </c>
      <c r="C1866" s="103">
        <v>219776497</v>
      </c>
      <c r="D1866" s="111" t="s">
        <v>19</v>
      </c>
      <c r="E1866" s="95">
        <v>16747</v>
      </c>
      <c r="F1866" s="35">
        <v>0</v>
      </c>
    </row>
    <row r="1867" spans="1:6" s="4" customFormat="1" ht="12">
      <c r="A1867" s="106">
        <v>240314</v>
      </c>
      <c r="B1867" s="119" t="s">
        <v>1086</v>
      </c>
      <c r="C1867" s="103">
        <v>216376563</v>
      </c>
      <c r="D1867" s="111" t="s">
        <v>20</v>
      </c>
      <c r="E1867" s="95">
        <v>59345</v>
      </c>
      <c r="F1867" s="35">
        <v>0</v>
      </c>
    </row>
    <row r="1868" spans="1:6" s="4" customFormat="1" ht="12">
      <c r="A1868" s="106">
        <v>240314</v>
      </c>
      <c r="B1868" s="119" t="s">
        <v>1086</v>
      </c>
      <c r="C1868" s="103">
        <v>210676606</v>
      </c>
      <c r="D1868" s="111" t="s">
        <v>2253</v>
      </c>
      <c r="E1868" s="95">
        <v>20313</v>
      </c>
      <c r="F1868" s="35">
        <v>0</v>
      </c>
    </row>
    <row r="1869" spans="1:6" s="4" customFormat="1" ht="12">
      <c r="A1869" s="106">
        <v>240314</v>
      </c>
      <c r="B1869" s="119" t="s">
        <v>1086</v>
      </c>
      <c r="C1869" s="103">
        <v>211676616</v>
      </c>
      <c r="D1869" s="111" t="s">
        <v>21</v>
      </c>
      <c r="E1869" s="95">
        <v>21858</v>
      </c>
      <c r="F1869" s="35">
        <v>0</v>
      </c>
    </row>
    <row r="1870" spans="1:6" s="4" customFormat="1" ht="12">
      <c r="A1870" s="106">
        <v>240314</v>
      </c>
      <c r="B1870" s="119" t="s">
        <v>1086</v>
      </c>
      <c r="C1870" s="103">
        <v>212276622</v>
      </c>
      <c r="D1870" s="111" t="s">
        <v>22</v>
      </c>
      <c r="E1870" s="95">
        <v>42571</v>
      </c>
      <c r="F1870" s="35">
        <v>0</v>
      </c>
    </row>
    <row r="1871" spans="1:6" s="4" customFormat="1" ht="12">
      <c r="A1871" s="106">
        <v>240314</v>
      </c>
      <c r="B1871" s="119" t="s">
        <v>1086</v>
      </c>
      <c r="C1871" s="103">
        <v>217076670</v>
      </c>
      <c r="D1871" s="111" t="s">
        <v>1292</v>
      </c>
      <c r="E1871" s="95">
        <v>19310</v>
      </c>
      <c r="F1871" s="35">
        <v>0</v>
      </c>
    </row>
    <row r="1872" spans="1:6" s="4" customFormat="1" ht="12">
      <c r="A1872" s="106">
        <v>240314</v>
      </c>
      <c r="B1872" s="119" t="s">
        <v>1086</v>
      </c>
      <c r="C1872" s="103">
        <v>213676736</v>
      </c>
      <c r="D1872" s="111" t="s">
        <v>23</v>
      </c>
      <c r="E1872" s="95">
        <v>53938</v>
      </c>
      <c r="F1872" s="35">
        <v>0</v>
      </c>
    </row>
    <row r="1873" spans="1:6" s="4" customFormat="1" ht="12">
      <c r="A1873" s="106">
        <v>240314</v>
      </c>
      <c r="B1873" s="119" t="s">
        <v>1086</v>
      </c>
      <c r="C1873" s="103">
        <v>212376823</v>
      </c>
      <c r="D1873" s="111" t="s">
        <v>24</v>
      </c>
      <c r="E1873" s="95">
        <v>21192</v>
      </c>
      <c r="F1873" s="35">
        <v>0</v>
      </c>
    </row>
    <row r="1874" spans="1:6" s="4" customFormat="1" ht="12">
      <c r="A1874" s="106">
        <v>240314</v>
      </c>
      <c r="B1874" s="119" t="s">
        <v>1086</v>
      </c>
      <c r="C1874" s="103">
        <v>212876828</v>
      </c>
      <c r="D1874" s="111" t="s">
        <v>25</v>
      </c>
      <c r="E1874" s="95">
        <v>22120</v>
      </c>
      <c r="F1874" s="35">
        <v>0</v>
      </c>
    </row>
    <row r="1875" spans="1:6" s="4" customFormat="1" ht="12">
      <c r="A1875" s="106">
        <v>240314</v>
      </c>
      <c r="B1875" s="119" t="s">
        <v>1086</v>
      </c>
      <c r="C1875" s="103">
        <v>214576845</v>
      </c>
      <c r="D1875" s="111" t="s">
        <v>26</v>
      </c>
      <c r="E1875" s="95">
        <v>7423</v>
      </c>
      <c r="F1875" s="35">
        <v>0</v>
      </c>
    </row>
    <row r="1876" spans="1:6" s="4" customFormat="1" ht="12">
      <c r="A1876" s="106">
        <v>240314</v>
      </c>
      <c r="B1876" s="119" t="s">
        <v>1086</v>
      </c>
      <c r="C1876" s="103">
        <v>216376863</v>
      </c>
      <c r="D1876" s="111" t="s">
        <v>27</v>
      </c>
      <c r="E1876" s="95">
        <v>9489</v>
      </c>
      <c r="F1876" s="35">
        <v>0</v>
      </c>
    </row>
    <row r="1877" spans="1:6" s="4" customFormat="1" ht="12">
      <c r="A1877" s="106">
        <v>240314</v>
      </c>
      <c r="B1877" s="119" t="s">
        <v>1086</v>
      </c>
      <c r="C1877" s="103">
        <v>216976869</v>
      </c>
      <c r="D1877" s="111" t="s">
        <v>28</v>
      </c>
      <c r="E1877" s="95">
        <v>24082</v>
      </c>
      <c r="F1877" s="35">
        <v>0</v>
      </c>
    </row>
    <row r="1878" spans="1:6" s="4" customFormat="1" ht="12">
      <c r="A1878" s="106">
        <v>240314</v>
      </c>
      <c r="B1878" s="119" t="s">
        <v>1086</v>
      </c>
      <c r="C1878" s="103">
        <v>219076890</v>
      </c>
      <c r="D1878" s="111" t="s">
        <v>29</v>
      </c>
      <c r="E1878" s="95">
        <v>21219</v>
      </c>
      <c r="F1878" s="35">
        <v>0</v>
      </c>
    </row>
    <row r="1879" spans="1:6" s="4" customFormat="1" ht="12">
      <c r="A1879" s="106">
        <v>240314</v>
      </c>
      <c r="B1879" s="119" t="s">
        <v>1086</v>
      </c>
      <c r="C1879" s="103">
        <v>219276892</v>
      </c>
      <c r="D1879" s="111" t="s">
        <v>30</v>
      </c>
      <c r="E1879" s="95">
        <v>109622</v>
      </c>
      <c r="F1879" s="35">
        <v>0</v>
      </c>
    </row>
    <row r="1880" spans="1:6" s="4" customFormat="1" ht="12">
      <c r="A1880" s="106">
        <v>240314</v>
      </c>
      <c r="B1880" s="119" t="s">
        <v>1086</v>
      </c>
      <c r="C1880" s="103">
        <v>219576895</v>
      </c>
      <c r="D1880" s="111" t="s">
        <v>31</v>
      </c>
      <c r="E1880" s="95">
        <v>45745</v>
      </c>
      <c r="F1880" s="35">
        <v>0</v>
      </c>
    </row>
    <row r="1881" spans="1:6" s="4" customFormat="1" ht="12">
      <c r="A1881" s="106">
        <v>240314</v>
      </c>
      <c r="B1881" s="119" t="s">
        <v>1086</v>
      </c>
      <c r="C1881" s="103">
        <v>210181001</v>
      </c>
      <c r="D1881" s="111" t="s">
        <v>1110</v>
      </c>
      <c r="E1881" s="95">
        <v>82910</v>
      </c>
      <c r="F1881" s="35">
        <v>0</v>
      </c>
    </row>
    <row r="1882" spans="1:6" s="4" customFormat="1" ht="12">
      <c r="A1882" s="106">
        <v>240314</v>
      </c>
      <c r="B1882" s="119" t="s">
        <v>1086</v>
      </c>
      <c r="C1882" s="103">
        <v>216581065</v>
      </c>
      <c r="D1882" s="111" t="s">
        <v>32</v>
      </c>
      <c r="E1882" s="95">
        <v>56866</v>
      </c>
      <c r="F1882" s="35">
        <v>0</v>
      </c>
    </row>
    <row r="1883" spans="1:6" s="4" customFormat="1" ht="12">
      <c r="A1883" s="106">
        <v>240314</v>
      </c>
      <c r="B1883" s="119" t="s">
        <v>1086</v>
      </c>
      <c r="C1883" s="103">
        <v>212081220</v>
      </c>
      <c r="D1883" s="111" t="s">
        <v>33</v>
      </c>
      <c r="E1883" s="95">
        <v>4762</v>
      </c>
      <c r="F1883" s="35">
        <v>0</v>
      </c>
    </row>
    <row r="1884" spans="1:6" s="4" customFormat="1" ht="12">
      <c r="A1884" s="106">
        <v>240314</v>
      </c>
      <c r="B1884" s="119" t="s">
        <v>1086</v>
      </c>
      <c r="C1884" s="103">
        <v>210081300</v>
      </c>
      <c r="D1884" s="111" t="s">
        <v>34</v>
      </c>
      <c r="E1884" s="95">
        <v>33016</v>
      </c>
      <c r="F1884" s="35">
        <v>0</v>
      </c>
    </row>
    <row r="1885" spans="1:6" s="4" customFormat="1" ht="12">
      <c r="A1885" s="106">
        <v>240314</v>
      </c>
      <c r="B1885" s="119" t="s">
        <v>1086</v>
      </c>
      <c r="C1885" s="103">
        <v>219181591</v>
      </c>
      <c r="D1885" s="111" t="s">
        <v>35</v>
      </c>
      <c r="E1885" s="95">
        <v>5564</v>
      </c>
      <c r="F1885" s="35">
        <v>0</v>
      </c>
    </row>
    <row r="1886" spans="1:6" s="4" customFormat="1" ht="12">
      <c r="A1886" s="106">
        <v>240314</v>
      </c>
      <c r="B1886" s="119" t="s">
        <v>1086</v>
      </c>
      <c r="C1886" s="103">
        <v>213681736</v>
      </c>
      <c r="D1886" s="111" t="s">
        <v>36</v>
      </c>
      <c r="E1886" s="95">
        <v>65968</v>
      </c>
      <c r="F1886" s="35">
        <v>0</v>
      </c>
    </row>
    <row r="1887" spans="1:6" s="4" customFormat="1" ht="12">
      <c r="A1887" s="106">
        <v>240314</v>
      </c>
      <c r="B1887" s="119" t="s">
        <v>1086</v>
      </c>
      <c r="C1887" s="103">
        <v>219481794</v>
      </c>
      <c r="D1887" s="111" t="s">
        <v>37</v>
      </c>
      <c r="E1887" s="95">
        <v>69356</v>
      </c>
      <c r="F1887" s="35">
        <v>0</v>
      </c>
    </row>
    <row r="1888" spans="1:6" s="4" customFormat="1" ht="12">
      <c r="A1888" s="106">
        <v>240314</v>
      </c>
      <c r="B1888" s="119" t="s">
        <v>1086</v>
      </c>
      <c r="C1888" s="103">
        <v>210185001</v>
      </c>
      <c r="D1888" s="111" t="s">
        <v>38</v>
      </c>
      <c r="E1888" s="95">
        <v>135845</v>
      </c>
      <c r="F1888" s="35">
        <v>0</v>
      </c>
    </row>
    <row r="1889" spans="1:6" s="4" customFormat="1" ht="12">
      <c r="A1889" s="106">
        <v>240314</v>
      </c>
      <c r="B1889" s="119" t="s">
        <v>1086</v>
      </c>
      <c r="C1889" s="103">
        <v>211085010</v>
      </c>
      <c r="D1889" s="111" t="s">
        <v>39</v>
      </c>
      <c r="E1889" s="95">
        <v>42775</v>
      </c>
      <c r="F1889" s="35">
        <v>0</v>
      </c>
    </row>
    <row r="1890" spans="1:6" s="4" customFormat="1" ht="12">
      <c r="A1890" s="106">
        <v>240314</v>
      </c>
      <c r="B1890" s="119" t="s">
        <v>1086</v>
      </c>
      <c r="C1890" s="103">
        <v>211585015</v>
      </c>
      <c r="D1890" s="111" t="s">
        <v>40</v>
      </c>
      <c r="E1890" s="95">
        <v>2115</v>
      </c>
      <c r="F1890" s="35">
        <v>0</v>
      </c>
    </row>
    <row r="1891" spans="1:6" s="4" customFormat="1" ht="12">
      <c r="A1891" s="106">
        <v>240314</v>
      </c>
      <c r="B1891" s="119" t="s">
        <v>1086</v>
      </c>
      <c r="C1891" s="103">
        <v>212585125</v>
      </c>
      <c r="D1891" s="111" t="s">
        <v>41</v>
      </c>
      <c r="E1891" s="95">
        <v>17592</v>
      </c>
      <c r="F1891" s="35">
        <v>0</v>
      </c>
    </row>
    <row r="1892" spans="1:6" s="4" customFormat="1" ht="12">
      <c r="A1892" s="106">
        <v>240314</v>
      </c>
      <c r="B1892" s="119" t="s">
        <v>1086</v>
      </c>
      <c r="C1892" s="103">
        <v>213685136</v>
      </c>
      <c r="D1892" s="111" t="s">
        <v>42</v>
      </c>
      <c r="E1892" s="95">
        <v>2303</v>
      </c>
      <c r="F1892" s="35">
        <v>0</v>
      </c>
    </row>
    <row r="1893" spans="1:6" s="4" customFormat="1" ht="12">
      <c r="A1893" s="106">
        <v>240314</v>
      </c>
      <c r="B1893" s="119" t="s">
        <v>1086</v>
      </c>
      <c r="C1893" s="103">
        <v>213985139</v>
      </c>
      <c r="D1893" s="111" t="s">
        <v>43</v>
      </c>
      <c r="E1893" s="95">
        <v>15436</v>
      </c>
      <c r="F1893" s="35">
        <v>0</v>
      </c>
    </row>
    <row r="1894" spans="1:6" s="4" customFormat="1" ht="12">
      <c r="A1894" s="106">
        <v>240314</v>
      </c>
      <c r="B1894" s="119" t="s">
        <v>1086</v>
      </c>
      <c r="C1894" s="103">
        <v>216285162</v>
      </c>
      <c r="D1894" s="111" t="s">
        <v>44</v>
      </c>
      <c r="E1894" s="95">
        <v>18572</v>
      </c>
      <c r="F1894" s="35">
        <v>0</v>
      </c>
    </row>
    <row r="1895" spans="1:6" s="4" customFormat="1" ht="12">
      <c r="A1895" s="106">
        <v>240314</v>
      </c>
      <c r="B1895" s="119" t="s">
        <v>1086</v>
      </c>
      <c r="C1895" s="103">
        <v>212585225</v>
      </c>
      <c r="D1895" s="111" t="s">
        <v>45</v>
      </c>
      <c r="E1895" s="95">
        <v>15332</v>
      </c>
      <c r="F1895" s="35">
        <v>0</v>
      </c>
    </row>
    <row r="1896" spans="1:6" s="4" customFormat="1" ht="12">
      <c r="A1896" s="106">
        <v>240314</v>
      </c>
      <c r="B1896" s="119" t="s">
        <v>1086</v>
      </c>
      <c r="C1896" s="103">
        <v>213085230</v>
      </c>
      <c r="D1896" s="111" t="s">
        <v>46</v>
      </c>
      <c r="E1896" s="95">
        <v>13556</v>
      </c>
      <c r="F1896" s="35">
        <v>0</v>
      </c>
    </row>
    <row r="1897" spans="1:6" s="4" customFormat="1" ht="12">
      <c r="A1897" s="106">
        <v>240314</v>
      </c>
      <c r="B1897" s="119" t="s">
        <v>1086</v>
      </c>
      <c r="C1897" s="103">
        <v>215085250</v>
      </c>
      <c r="D1897" s="111" t="s">
        <v>47</v>
      </c>
      <c r="E1897" s="95">
        <v>39356</v>
      </c>
      <c r="F1897" s="35">
        <v>0</v>
      </c>
    </row>
    <row r="1898" spans="1:6" s="4" customFormat="1" ht="12">
      <c r="A1898" s="106">
        <v>240314</v>
      </c>
      <c r="B1898" s="119" t="s">
        <v>1086</v>
      </c>
      <c r="C1898" s="103">
        <v>216385263</v>
      </c>
      <c r="D1898" s="111" t="s">
        <v>48</v>
      </c>
      <c r="E1898" s="95">
        <v>10497</v>
      </c>
      <c r="F1898" s="35">
        <v>0</v>
      </c>
    </row>
    <row r="1899" spans="1:6" s="4" customFormat="1" ht="12">
      <c r="A1899" s="106">
        <v>240314</v>
      </c>
      <c r="B1899" s="119" t="s">
        <v>1086</v>
      </c>
      <c r="C1899" s="103">
        <v>217985279</v>
      </c>
      <c r="D1899" s="111" t="s">
        <v>49</v>
      </c>
      <c r="E1899" s="95">
        <v>2074</v>
      </c>
      <c r="F1899" s="35">
        <v>0</v>
      </c>
    </row>
    <row r="1900" spans="1:6" s="4" customFormat="1" ht="12">
      <c r="A1900" s="106">
        <v>240314</v>
      </c>
      <c r="B1900" s="119" t="s">
        <v>1086</v>
      </c>
      <c r="C1900" s="103">
        <v>210085300</v>
      </c>
      <c r="D1900" s="111" t="s">
        <v>1279</v>
      </c>
      <c r="E1900" s="95">
        <v>5369</v>
      </c>
      <c r="F1900" s="35">
        <v>0</v>
      </c>
    </row>
    <row r="1901" spans="1:6" s="4" customFormat="1" ht="12">
      <c r="A1901" s="106">
        <v>240314</v>
      </c>
      <c r="B1901" s="119" t="s">
        <v>1086</v>
      </c>
      <c r="C1901" s="103">
        <v>211585315</v>
      </c>
      <c r="D1901" s="111" t="s">
        <v>50</v>
      </c>
      <c r="E1901" s="95">
        <v>2599</v>
      </c>
      <c r="F1901" s="35">
        <v>0</v>
      </c>
    </row>
    <row r="1902" spans="1:6" s="4" customFormat="1" ht="12">
      <c r="A1902" s="106">
        <v>240314</v>
      </c>
      <c r="B1902" s="119" t="s">
        <v>1086</v>
      </c>
      <c r="C1902" s="103">
        <v>212585325</v>
      </c>
      <c r="D1902" s="111" t="s">
        <v>51</v>
      </c>
      <c r="E1902" s="95">
        <v>8397</v>
      </c>
      <c r="F1902" s="35">
        <v>0</v>
      </c>
    </row>
    <row r="1903" spans="1:6" s="4" customFormat="1" ht="12">
      <c r="A1903" s="106">
        <v>240314</v>
      </c>
      <c r="B1903" s="119" t="s">
        <v>1086</v>
      </c>
      <c r="C1903" s="103">
        <v>210085400</v>
      </c>
      <c r="D1903" s="111" t="s">
        <v>52</v>
      </c>
      <c r="E1903" s="95">
        <v>14762</v>
      </c>
      <c r="F1903" s="35">
        <v>0</v>
      </c>
    </row>
    <row r="1904" spans="1:6" s="4" customFormat="1" ht="12">
      <c r="A1904" s="106">
        <v>240314</v>
      </c>
      <c r="B1904" s="119" t="s">
        <v>1086</v>
      </c>
      <c r="C1904" s="103">
        <v>211085410</v>
      </c>
      <c r="D1904" s="111" t="s">
        <v>53</v>
      </c>
      <c r="E1904" s="95">
        <v>22904</v>
      </c>
      <c r="F1904" s="35">
        <v>0</v>
      </c>
    </row>
    <row r="1905" spans="1:6" s="4" customFormat="1" ht="12">
      <c r="A1905" s="106">
        <v>240314</v>
      </c>
      <c r="B1905" s="119" t="s">
        <v>1086</v>
      </c>
      <c r="C1905" s="103">
        <v>213085430</v>
      </c>
      <c r="D1905" s="111" t="s">
        <v>54</v>
      </c>
      <c r="E1905" s="95">
        <v>17490</v>
      </c>
      <c r="F1905" s="35">
        <v>0</v>
      </c>
    </row>
    <row r="1906" spans="1:6" s="4" customFormat="1" ht="12">
      <c r="A1906" s="106">
        <v>240314</v>
      </c>
      <c r="B1906" s="119" t="s">
        <v>1086</v>
      </c>
      <c r="C1906" s="103">
        <v>214085440</v>
      </c>
      <c r="D1906" s="111" t="s">
        <v>1423</v>
      </c>
      <c r="E1906" s="95">
        <v>28859</v>
      </c>
      <c r="F1906" s="35">
        <v>0</v>
      </c>
    </row>
    <row r="1907" spans="1:6" s="4" customFormat="1" ht="12">
      <c r="A1907" s="106">
        <v>240314</v>
      </c>
      <c r="B1907" s="119" t="s">
        <v>1086</v>
      </c>
      <c r="C1907" s="106">
        <v>210186001</v>
      </c>
      <c r="D1907" s="111" t="s">
        <v>55</v>
      </c>
      <c r="E1907" s="95">
        <v>50794</v>
      </c>
      <c r="F1907" s="35">
        <v>0</v>
      </c>
    </row>
    <row r="1908" spans="1:6" s="4" customFormat="1" ht="12">
      <c r="A1908" s="106">
        <v>240314</v>
      </c>
      <c r="B1908" s="119" t="s">
        <v>1086</v>
      </c>
      <c r="C1908" s="106">
        <v>211986219</v>
      </c>
      <c r="D1908" s="111" t="s">
        <v>56</v>
      </c>
      <c r="E1908" s="95">
        <v>6304</v>
      </c>
      <c r="F1908" s="35">
        <v>0</v>
      </c>
    </row>
    <row r="1909" spans="1:6" s="4" customFormat="1" ht="12">
      <c r="A1909" s="106">
        <v>240314</v>
      </c>
      <c r="B1909" s="119" t="s">
        <v>1086</v>
      </c>
      <c r="C1909" s="103">
        <v>212086320</v>
      </c>
      <c r="D1909" s="111" t="s">
        <v>57</v>
      </c>
      <c r="E1909" s="95">
        <v>73329</v>
      </c>
      <c r="F1909" s="35">
        <v>0</v>
      </c>
    </row>
    <row r="1910" spans="1:6" s="4" customFormat="1" ht="12">
      <c r="A1910" s="106">
        <v>240314</v>
      </c>
      <c r="B1910" s="119" t="s">
        <v>1086</v>
      </c>
      <c r="C1910" s="103">
        <v>216886568</v>
      </c>
      <c r="D1910" s="111" t="s">
        <v>58</v>
      </c>
      <c r="E1910" s="95">
        <v>83863</v>
      </c>
      <c r="F1910" s="35">
        <v>0</v>
      </c>
    </row>
    <row r="1911" spans="1:6" s="4" customFormat="1" ht="12">
      <c r="A1911" s="106">
        <v>240314</v>
      </c>
      <c r="B1911" s="119" t="s">
        <v>1086</v>
      </c>
      <c r="C1911" s="103">
        <v>216986569</v>
      </c>
      <c r="D1911" s="111" t="s">
        <v>59</v>
      </c>
      <c r="E1911" s="95">
        <v>20059</v>
      </c>
      <c r="F1911" s="35">
        <v>0</v>
      </c>
    </row>
    <row r="1912" spans="1:6" s="4" customFormat="1" ht="12">
      <c r="A1912" s="106">
        <v>240314</v>
      </c>
      <c r="B1912" s="119" t="s">
        <v>1086</v>
      </c>
      <c r="C1912" s="103">
        <v>217186571</v>
      </c>
      <c r="D1912" s="111" t="s">
        <v>60</v>
      </c>
      <c r="E1912" s="95">
        <v>51518</v>
      </c>
      <c r="F1912" s="35">
        <v>0</v>
      </c>
    </row>
    <row r="1913" spans="1:6" s="4" customFormat="1" ht="12">
      <c r="A1913" s="106">
        <v>240314</v>
      </c>
      <c r="B1913" s="119" t="s">
        <v>1086</v>
      </c>
      <c r="C1913" s="106">
        <v>217386573</v>
      </c>
      <c r="D1913" s="111" t="s">
        <v>61</v>
      </c>
      <c r="E1913" s="95">
        <v>42764</v>
      </c>
      <c r="F1913" s="35">
        <v>0</v>
      </c>
    </row>
    <row r="1914" spans="1:6" s="4" customFormat="1" ht="12">
      <c r="A1914" s="106">
        <v>240314</v>
      </c>
      <c r="B1914" s="119" t="s">
        <v>1086</v>
      </c>
      <c r="C1914" s="106">
        <v>214986749</v>
      </c>
      <c r="D1914" s="111" t="s">
        <v>62</v>
      </c>
      <c r="E1914" s="95">
        <v>20631</v>
      </c>
      <c r="F1914" s="35">
        <v>0</v>
      </c>
    </row>
    <row r="1915" spans="1:6" s="4" customFormat="1" ht="12">
      <c r="A1915" s="106">
        <v>240314</v>
      </c>
      <c r="B1915" s="119" t="s">
        <v>1086</v>
      </c>
      <c r="C1915" s="106">
        <v>215586755</v>
      </c>
      <c r="D1915" s="111" t="s">
        <v>1284</v>
      </c>
      <c r="E1915" s="95">
        <v>7206</v>
      </c>
      <c r="F1915" s="35">
        <v>0</v>
      </c>
    </row>
    <row r="1916" spans="1:6" s="4" customFormat="1" ht="12">
      <c r="A1916" s="106">
        <v>240314</v>
      </c>
      <c r="B1916" s="119" t="s">
        <v>1086</v>
      </c>
      <c r="C1916" s="106">
        <v>215786757</v>
      </c>
      <c r="D1916" s="111" t="s">
        <v>63</v>
      </c>
      <c r="E1916" s="95">
        <v>26816</v>
      </c>
      <c r="F1916" s="35">
        <v>0</v>
      </c>
    </row>
    <row r="1917" spans="1:6" s="4" customFormat="1" ht="12">
      <c r="A1917" s="106">
        <v>240314</v>
      </c>
      <c r="B1917" s="119" t="s">
        <v>1086</v>
      </c>
      <c r="C1917" s="106">
        <v>216086760</v>
      </c>
      <c r="D1917" s="111" t="s">
        <v>2338</v>
      </c>
      <c r="E1917" s="95">
        <v>12079</v>
      </c>
      <c r="F1917" s="35">
        <v>0</v>
      </c>
    </row>
    <row r="1918" spans="1:6" s="4" customFormat="1" ht="12">
      <c r="A1918" s="106">
        <v>240314</v>
      </c>
      <c r="B1918" s="119" t="s">
        <v>1086</v>
      </c>
      <c r="C1918" s="106">
        <v>216586865</v>
      </c>
      <c r="D1918" s="111" t="s">
        <v>64</v>
      </c>
      <c r="E1918" s="95">
        <v>63283</v>
      </c>
      <c r="F1918" s="35">
        <v>0</v>
      </c>
    </row>
    <row r="1919" spans="1:6" s="4" customFormat="1" ht="12">
      <c r="A1919" s="106">
        <v>240314</v>
      </c>
      <c r="B1919" s="119" t="s">
        <v>1086</v>
      </c>
      <c r="C1919" s="106">
        <v>218586885</v>
      </c>
      <c r="D1919" s="111" t="s">
        <v>65</v>
      </c>
      <c r="E1919" s="95">
        <v>33555</v>
      </c>
      <c r="F1919" s="35">
        <v>0</v>
      </c>
    </row>
    <row r="1920" spans="1:6" s="4" customFormat="1" ht="12">
      <c r="A1920" s="106">
        <v>240314</v>
      </c>
      <c r="B1920" s="119" t="s">
        <v>1086</v>
      </c>
      <c r="C1920" s="106" t="s">
        <v>747</v>
      </c>
      <c r="D1920" s="111" t="s">
        <v>1113</v>
      </c>
      <c r="E1920" s="95">
        <v>56828</v>
      </c>
      <c r="F1920" s="35">
        <v>0</v>
      </c>
    </row>
    <row r="1921" spans="1:6" s="4" customFormat="1" ht="12">
      <c r="A1921" s="106">
        <v>240314</v>
      </c>
      <c r="B1921" s="119" t="s">
        <v>1086</v>
      </c>
      <c r="C1921" s="106">
        <v>216488564</v>
      </c>
      <c r="D1921" s="111" t="s">
        <v>66</v>
      </c>
      <c r="E1921" s="95">
        <v>5386</v>
      </c>
      <c r="F1921" s="35">
        <v>0</v>
      </c>
    </row>
    <row r="1922" spans="1:6" s="4" customFormat="1" ht="12">
      <c r="A1922" s="106">
        <v>240314</v>
      </c>
      <c r="B1922" s="119" t="s">
        <v>1086</v>
      </c>
      <c r="C1922" s="103">
        <v>210191001</v>
      </c>
      <c r="D1922" s="93" t="s">
        <v>67</v>
      </c>
      <c r="E1922" s="95">
        <v>61628</v>
      </c>
      <c r="F1922" s="35">
        <v>0</v>
      </c>
    </row>
    <row r="1923" spans="1:6" s="4" customFormat="1" ht="12">
      <c r="A1923" s="106">
        <v>240314</v>
      </c>
      <c r="B1923" s="119" t="s">
        <v>1086</v>
      </c>
      <c r="C1923" s="103">
        <v>214091540</v>
      </c>
      <c r="D1923" s="111" t="s">
        <v>68</v>
      </c>
      <c r="E1923" s="95">
        <v>15175</v>
      </c>
      <c r="F1923" s="35">
        <v>0</v>
      </c>
    </row>
    <row r="1924" spans="1:6" s="4" customFormat="1" ht="12">
      <c r="A1924" s="106">
        <v>240314</v>
      </c>
      <c r="B1924" s="119" t="s">
        <v>1086</v>
      </c>
      <c r="C1924" s="106">
        <v>210194001</v>
      </c>
      <c r="D1924" s="111" t="s">
        <v>69</v>
      </c>
      <c r="E1924" s="95">
        <v>43284</v>
      </c>
      <c r="F1924" s="35">
        <v>0</v>
      </c>
    </row>
    <row r="1925" spans="1:6" s="4" customFormat="1" ht="12">
      <c r="A1925" s="106">
        <v>240314</v>
      </c>
      <c r="B1925" s="119" t="s">
        <v>1086</v>
      </c>
      <c r="C1925" s="106">
        <v>210195001</v>
      </c>
      <c r="D1925" s="93" t="s">
        <v>70</v>
      </c>
      <c r="E1925" s="95">
        <v>82962</v>
      </c>
      <c r="F1925" s="35">
        <v>0</v>
      </c>
    </row>
    <row r="1926" spans="1:6" s="4" customFormat="1" ht="12">
      <c r="A1926" s="106">
        <v>240314</v>
      </c>
      <c r="B1926" s="119" t="s">
        <v>1086</v>
      </c>
      <c r="C1926" s="103">
        <v>211595015</v>
      </c>
      <c r="D1926" s="111" t="s">
        <v>1373</v>
      </c>
      <c r="E1926" s="95">
        <v>12239</v>
      </c>
      <c r="F1926" s="35">
        <v>0</v>
      </c>
    </row>
    <row r="1927" spans="1:6" s="4" customFormat="1" ht="12">
      <c r="A1927" s="106">
        <v>240314</v>
      </c>
      <c r="B1927" s="119" t="s">
        <v>1086</v>
      </c>
      <c r="C1927" s="106">
        <v>212595025</v>
      </c>
      <c r="D1927" s="111" t="s">
        <v>71</v>
      </c>
      <c r="E1927" s="95">
        <v>29984</v>
      </c>
      <c r="F1927" s="35">
        <v>0</v>
      </c>
    </row>
    <row r="1928" spans="1:6" s="4" customFormat="1" ht="12">
      <c r="A1928" s="106">
        <v>240314</v>
      </c>
      <c r="B1928" s="119" t="s">
        <v>1086</v>
      </c>
      <c r="C1928" s="106">
        <v>210095200</v>
      </c>
      <c r="D1928" s="111" t="s">
        <v>1480</v>
      </c>
      <c r="E1928" s="95">
        <v>10624</v>
      </c>
      <c r="F1928" s="35">
        <v>0</v>
      </c>
    </row>
    <row r="1929" spans="1:6" s="4" customFormat="1" ht="12">
      <c r="A1929" s="106">
        <v>240314</v>
      </c>
      <c r="B1929" s="119" t="s">
        <v>1086</v>
      </c>
      <c r="C1929" s="103">
        <v>210197001</v>
      </c>
      <c r="D1929" s="93" t="s">
        <v>72</v>
      </c>
      <c r="E1929" s="95">
        <v>44226</v>
      </c>
      <c r="F1929" s="35">
        <v>0</v>
      </c>
    </row>
    <row r="1930" spans="1:6" s="4" customFormat="1" ht="12">
      <c r="A1930" s="106">
        <v>240314</v>
      </c>
      <c r="B1930" s="119" t="s">
        <v>1086</v>
      </c>
      <c r="C1930" s="103">
        <v>216197161</v>
      </c>
      <c r="D1930" s="111" t="s">
        <v>73</v>
      </c>
      <c r="E1930" s="95">
        <v>6069</v>
      </c>
      <c r="F1930" s="35">
        <v>0</v>
      </c>
    </row>
    <row r="1931" spans="1:6" s="4" customFormat="1" ht="12">
      <c r="A1931" s="106">
        <v>240314</v>
      </c>
      <c r="B1931" s="119" t="s">
        <v>1086</v>
      </c>
      <c r="C1931" s="103">
        <v>216697666</v>
      </c>
      <c r="D1931" s="111" t="s">
        <v>74</v>
      </c>
      <c r="E1931" s="95">
        <v>2505</v>
      </c>
      <c r="F1931" s="35">
        <v>0</v>
      </c>
    </row>
    <row r="1932" spans="1:6" s="4" customFormat="1" ht="12">
      <c r="A1932" s="106">
        <v>240314</v>
      </c>
      <c r="B1932" s="119" t="s">
        <v>1086</v>
      </c>
      <c r="C1932" s="103">
        <v>210199001</v>
      </c>
      <c r="D1932" s="111" t="s">
        <v>75</v>
      </c>
      <c r="E1932" s="95">
        <v>20221</v>
      </c>
      <c r="F1932" s="35">
        <v>0</v>
      </c>
    </row>
    <row r="1933" spans="1:6" s="4" customFormat="1" ht="12">
      <c r="A1933" s="106">
        <v>240314</v>
      </c>
      <c r="B1933" s="119" t="s">
        <v>1086</v>
      </c>
      <c r="C1933" s="103">
        <v>212499524</v>
      </c>
      <c r="D1933" s="111" t="s">
        <v>76</v>
      </c>
      <c r="E1933" s="95">
        <v>16094</v>
      </c>
      <c r="F1933" s="35">
        <v>0</v>
      </c>
    </row>
    <row r="1934" spans="1:6" s="4" customFormat="1" ht="12">
      <c r="A1934" s="106">
        <v>240314</v>
      </c>
      <c r="B1934" s="119" t="s">
        <v>1086</v>
      </c>
      <c r="C1934" s="103">
        <v>212499624</v>
      </c>
      <c r="D1934" s="111" t="s">
        <v>77</v>
      </c>
      <c r="E1934" s="95">
        <v>6828</v>
      </c>
      <c r="F1934" s="35">
        <v>0</v>
      </c>
    </row>
    <row r="1935" spans="1:6" s="4" customFormat="1" ht="12">
      <c r="A1935" s="106">
        <v>240314</v>
      </c>
      <c r="B1935" s="119" t="s">
        <v>1086</v>
      </c>
      <c r="C1935" s="103">
        <v>217399773</v>
      </c>
      <c r="D1935" s="111" t="s">
        <v>78</v>
      </c>
      <c r="E1935" s="95">
        <v>68552</v>
      </c>
      <c r="F1935" s="35">
        <v>0</v>
      </c>
    </row>
    <row r="1936" spans="1:6" s="4" customFormat="1" ht="12">
      <c r="A1936" s="96"/>
      <c r="B1936" s="97"/>
      <c r="C1936" s="98"/>
      <c r="D1936" s="97"/>
      <c r="E1936" s="99"/>
      <c r="F1936" s="100"/>
    </row>
    <row r="1937" spans="1:6" s="4" customFormat="1" ht="11.25" customHeight="1">
      <c r="A1937" s="113">
        <v>242518</v>
      </c>
      <c r="B1937" s="120" t="s">
        <v>79</v>
      </c>
      <c r="C1937" s="103"/>
      <c r="D1937" s="111"/>
      <c r="E1937" s="91">
        <f>+E1938</f>
        <v>57</v>
      </c>
      <c r="F1937" s="35"/>
    </row>
    <row r="1938" spans="1:6" s="4" customFormat="1" ht="12">
      <c r="A1938" s="106">
        <v>242518</v>
      </c>
      <c r="B1938" s="119" t="s">
        <v>79</v>
      </c>
      <c r="C1938" s="103">
        <v>70400000</v>
      </c>
      <c r="D1938" s="111" t="s">
        <v>80</v>
      </c>
      <c r="E1938" s="95">
        <v>57</v>
      </c>
      <c r="F1938" s="35">
        <v>0</v>
      </c>
    </row>
    <row r="1939" spans="1:6" s="4" customFormat="1" ht="12">
      <c r="A1939" s="96"/>
      <c r="B1939" s="97"/>
      <c r="C1939" s="98"/>
      <c r="D1939" s="97"/>
      <c r="E1939" s="99"/>
      <c r="F1939" s="100"/>
    </row>
    <row r="1940" spans="1:6" s="4" customFormat="1" ht="12">
      <c r="A1940" s="113">
        <v>243601</v>
      </c>
      <c r="B1940" s="120" t="s">
        <v>81</v>
      </c>
      <c r="C1940" s="103"/>
      <c r="D1940" s="111"/>
      <c r="E1940" s="91">
        <f>+E1941</f>
        <v>60928</v>
      </c>
      <c r="F1940" s="35"/>
    </row>
    <row r="1941" spans="1:6" s="4" customFormat="1" ht="12">
      <c r="A1941" s="106">
        <v>243601</v>
      </c>
      <c r="B1941" s="119" t="s">
        <v>81</v>
      </c>
      <c r="C1941" s="103">
        <v>910300000</v>
      </c>
      <c r="D1941" s="115" t="s">
        <v>82</v>
      </c>
      <c r="E1941" s="95">
        <v>60928</v>
      </c>
      <c r="F1941" s="35">
        <v>0</v>
      </c>
    </row>
    <row r="1942" spans="1:6" s="4" customFormat="1" ht="12">
      <c r="A1942" s="96"/>
      <c r="B1942" s="97"/>
      <c r="C1942" s="98"/>
      <c r="D1942" s="97"/>
      <c r="E1942" s="99"/>
      <c r="F1942" s="100"/>
    </row>
    <row r="1943" spans="1:6" s="4" customFormat="1" ht="12">
      <c r="A1943" s="113">
        <v>243603</v>
      </c>
      <c r="B1943" s="120" t="s">
        <v>83</v>
      </c>
      <c r="C1943" s="103"/>
      <c r="D1943" s="115"/>
      <c r="E1943" s="91">
        <f>+E1944</f>
        <v>259388</v>
      </c>
      <c r="F1943" s="35"/>
    </row>
    <row r="1944" spans="1:6" s="4" customFormat="1" ht="12">
      <c r="A1944" s="106">
        <v>243603</v>
      </c>
      <c r="B1944" s="119" t="s">
        <v>83</v>
      </c>
      <c r="C1944" s="103">
        <v>910300000</v>
      </c>
      <c r="D1944" s="115" t="s">
        <v>82</v>
      </c>
      <c r="E1944" s="95">
        <v>259388</v>
      </c>
      <c r="F1944" s="35">
        <v>0</v>
      </c>
    </row>
    <row r="1945" spans="1:6" s="4" customFormat="1" ht="12">
      <c r="A1945" s="96"/>
      <c r="B1945" s="97"/>
      <c r="C1945" s="98"/>
      <c r="D1945" s="97"/>
      <c r="E1945" s="99"/>
      <c r="F1945" s="100"/>
    </row>
    <row r="1946" spans="1:6" s="4" customFormat="1" ht="12">
      <c r="A1946" s="113">
        <v>243605</v>
      </c>
      <c r="B1946" s="120" t="s">
        <v>84</v>
      </c>
      <c r="C1946" s="103"/>
      <c r="D1946" s="115"/>
      <c r="E1946" s="91">
        <f>+E1947</f>
        <v>76283</v>
      </c>
      <c r="F1946" s="35"/>
    </row>
    <row r="1947" spans="1:6" s="4" customFormat="1" ht="12">
      <c r="A1947" s="106">
        <v>243605</v>
      </c>
      <c r="B1947" s="119" t="s">
        <v>84</v>
      </c>
      <c r="C1947" s="103">
        <v>910300000</v>
      </c>
      <c r="D1947" s="115" t="s">
        <v>82</v>
      </c>
      <c r="E1947" s="95">
        <v>76283</v>
      </c>
      <c r="F1947" s="35">
        <v>0</v>
      </c>
    </row>
    <row r="1948" spans="1:6" s="4" customFormat="1" ht="12">
      <c r="A1948" s="96"/>
      <c r="B1948" s="97"/>
      <c r="C1948" s="98"/>
      <c r="D1948" s="97"/>
      <c r="E1948" s="99"/>
      <c r="F1948" s="100"/>
    </row>
    <row r="1949" spans="1:6" s="4" customFormat="1" ht="12">
      <c r="A1949" s="113">
        <v>243607</v>
      </c>
      <c r="B1949" s="120" t="s">
        <v>85</v>
      </c>
      <c r="C1949" s="103"/>
      <c r="D1949" s="115"/>
      <c r="E1949" s="91">
        <f>+E1950</f>
        <v>753</v>
      </c>
      <c r="F1949" s="35"/>
    </row>
    <row r="1950" spans="1:6" s="4" customFormat="1" ht="12">
      <c r="A1950" s="106">
        <v>243607</v>
      </c>
      <c r="B1950" s="119" t="s">
        <v>85</v>
      </c>
      <c r="C1950" s="103">
        <v>910300000</v>
      </c>
      <c r="D1950" s="115" t="s">
        <v>82</v>
      </c>
      <c r="E1950" s="95">
        <v>753</v>
      </c>
      <c r="F1950" s="35">
        <v>0</v>
      </c>
    </row>
    <row r="1951" spans="1:6" s="4" customFormat="1" ht="12">
      <c r="A1951" s="96"/>
      <c r="B1951" s="97"/>
      <c r="C1951" s="98"/>
      <c r="D1951" s="97"/>
      <c r="E1951" s="99"/>
      <c r="F1951" s="100"/>
    </row>
    <row r="1952" spans="1:6" s="4" customFormat="1" ht="12">
      <c r="A1952" s="113">
        <v>243608</v>
      </c>
      <c r="B1952" s="120" t="s">
        <v>86</v>
      </c>
      <c r="C1952" s="103"/>
      <c r="D1952" s="115"/>
      <c r="E1952" s="91">
        <f>+E1953</f>
        <v>10216</v>
      </c>
      <c r="F1952" s="35"/>
    </row>
    <row r="1953" spans="1:6" s="4" customFormat="1" ht="12">
      <c r="A1953" s="106">
        <v>243608</v>
      </c>
      <c r="B1953" s="119" t="s">
        <v>86</v>
      </c>
      <c r="C1953" s="103">
        <v>910300000</v>
      </c>
      <c r="D1953" s="115" t="s">
        <v>82</v>
      </c>
      <c r="E1953" s="95">
        <v>10216</v>
      </c>
      <c r="F1953" s="35">
        <v>0</v>
      </c>
    </row>
    <row r="1954" spans="1:6" s="4" customFormat="1" ht="12">
      <c r="A1954" s="96"/>
      <c r="B1954" s="97"/>
      <c r="C1954" s="98"/>
      <c r="D1954" s="97"/>
      <c r="E1954" s="99"/>
      <c r="F1954" s="100"/>
    </row>
    <row r="1955" spans="1:6" s="4" customFormat="1" ht="12">
      <c r="A1955" s="113">
        <v>243625</v>
      </c>
      <c r="B1955" s="120" t="s">
        <v>87</v>
      </c>
      <c r="C1955" s="103"/>
      <c r="D1955" s="115"/>
      <c r="E1955" s="91">
        <f>+E1956</f>
        <v>339997</v>
      </c>
      <c r="F1955" s="35"/>
    </row>
    <row r="1956" spans="1:6" s="4" customFormat="1" ht="12">
      <c r="A1956" s="106">
        <v>243625</v>
      </c>
      <c r="B1956" s="119" t="s">
        <v>87</v>
      </c>
      <c r="C1956" s="103">
        <v>910300000</v>
      </c>
      <c r="D1956" s="115" t="s">
        <v>82</v>
      </c>
      <c r="E1956" s="95">
        <v>339997</v>
      </c>
      <c r="F1956" s="35">
        <v>0</v>
      </c>
    </row>
    <row r="1957" spans="1:6" s="4" customFormat="1" ht="12">
      <c r="A1957" s="96"/>
      <c r="B1957" s="97"/>
      <c r="C1957" s="98"/>
      <c r="D1957" s="97"/>
      <c r="E1957" s="99"/>
      <c r="F1957" s="100"/>
    </row>
    <row r="1958" spans="1:6" s="4" customFormat="1" ht="12">
      <c r="A1958" s="113">
        <v>243698</v>
      </c>
      <c r="B1958" s="120" t="s">
        <v>88</v>
      </c>
      <c r="C1958" s="103"/>
      <c r="D1958" s="115"/>
      <c r="E1958" s="95">
        <f>+E1959</f>
        <v>94480</v>
      </c>
      <c r="F1958" s="35"/>
    </row>
    <row r="1959" spans="1:6" s="4" customFormat="1" ht="12">
      <c r="A1959" s="106">
        <v>243698</v>
      </c>
      <c r="B1959" s="119" t="s">
        <v>88</v>
      </c>
      <c r="C1959" s="103">
        <v>910300000</v>
      </c>
      <c r="D1959" s="115" t="s">
        <v>82</v>
      </c>
      <c r="E1959" s="95">
        <v>94480</v>
      </c>
      <c r="F1959" s="35">
        <v>0</v>
      </c>
    </row>
    <row r="1960" spans="1:6" s="4" customFormat="1" ht="12">
      <c r="A1960" s="96"/>
      <c r="B1960" s="97"/>
      <c r="C1960" s="98"/>
      <c r="D1960" s="97"/>
      <c r="E1960" s="99"/>
      <c r="F1960" s="100"/>
    </row>
    <row r="1961" spans="1:6" s="4" customFormat="1" ht="12">
      <c r="A1961" s="113">
        <v>243701</v>
      </c>
      <c r="B1961" s="120" t="s">
        <v>89</v>
      </c>
      <c r="C1961" s="103"/>
      <c r="D1961" s="115"/>
      <c r="E1961" s="91">
        <f>+E1962</f>
        <v>61083</v>
      </c>
      <c r="F1961" s="35"/>
    </row>
    <row r="1962" spans="1:6" s="4" customFormat="1" ht="12">
      <c r="A1962" s="106">
        <v>243701</v>
      </c>
      <c r="B1962" s="119" t="s">
        <v>89</v>
      </c>
      <c r="C1962" s="110">
        <v>210111001</v>
      </c>
      <c r="D1962" s="115" t="s">
        <v>90</v>
      </c>
      <c r="E1962" s="95">
        <v>61083</v>
      </c>
      <c r="F1962" s="35">
        <v>0</v>
      </c>
    </row>
    <row r="1963" spans="1:6" s="4" customFormat="1" ht="12">
      <c r="A1963" s="96"/>
      <c r="B1963" s="97"/>
      <c r="C1963" s="98"/>
      <c r="D1963" s="97"/>
      <c r="E1963" s="99"/>
      <c r="F1963" s="100"/>
    </row>
    <row r="1964" spans="1:6" s="4" customFormat="1" ht="12">
      <c r="A1964" s="113">
        <v>244011</v>
      </c>
      <c r="B1964" s="120" t="s">
        <v>91</v>
      </c>
      <c r="C1964" s="110"/>
      <c r="D1964" s="115"/>
      <c r="E1964" s="91">
        <f>+E1965</f>
        <v>92374</v>
      </c>
      <c r="F1964" s="35"/>
    </row>
    <row r="1965" spans="1:6" s="4" customFormat="1" ht="12">
      <c r="A1965" s="106">
        <v>244011</v>
      </c>
      <c r="B1965" s="119" t="s">
        <v>91</v>
      </c>
      <c r="C1965" s="110" t="s">
        <v>92</v>
      </c>
      <c r="D1965" s="115" t="s">
        <v>93</v>
      </c>
      <c r="E1965" s="95">
        <v>92374</v>
      </c>
      <c r="F1965" s="35">
        <v>0</v>
      </c>
    </row>
    <row r="1966" spans="1:6" s="4" customFormat="1" ht="7.5" customHeight="1">
      <c r="A1966" s="96"/>
      <c r="B1966" s="97"/>
      <c r="C1966" s="98"/>
      <c r="D1966" s="97"/>
      <c r="E1966" s="99"/>
      <c r="F1966" s="100"/>
    </row>
    <row r="1967" spans="1:6" s="4" customFormat="1" ht="12">
      <c r="A1967" s="113">
        <v>245503</v>
      </c>
      <c r="B1967" s="120" t="s">
        <v>94</v>
      </c>
      <c r="C1967" s="110"/>
      <c r="D1967" s="115"/>
      <c r="E1967" s="91">
        <f>+E1968</f>
        <v>54</v>
      </c>
      <c r="F1967" s="35"/>
    </row>
    <row r="1968" spans="1:6" s="4" customFormat="1" ht="12">
      <c r="A1968" s="106">
        <v>245503</v>
      </c>
      <c r="B1968" s="119" t="s">
        <v>94</v>
      </c>
      <c r="C1968" s="110">
        <v>6960000</v>
      </c>
      <c r="D1968" s="115" t="s">
        <v>95</v>
      </c>
      <c r="E1968" s="95">
        <v>54</v>
      </c>
      <c r="F1968" s="35">
        <v>0</v>
      </c>
    </row>
    <row r="1969" spans="1:6" s="4" customFormat="1" ht="7.5" customHeight="1">
      <c r="A1969" s="96"/>
      <c r="B1969" s="97"/>
      <c r="C1969" s="98"/>
      <c r="D1969" s="97"/>
      <c r="E1969" s="99"/>
      <c r="F1969" s="100"/>
    </row>
    <row r="1970" spans="1:6" s="4" customFormat="1" ht="12">
      <c r="A1970" s="113">
        <v>470501</v>
      </c>
      <c r="B1970" s="120" t="s">
        <v>96</v>
      </c>
      <c r="C1970" s="110"/>
      <c r="D1970" s="115"/>
      <c r="E1970" s="95"/>
      <c r="F1970" s="33">
        <f>+F1971</f>
        <v>16335443</v>
      </c>
    </row>
    <row r="1971" spans="1:6" s="4" customFormat="1" ht="12">
      <c r="A1971" s="106">
        <v>470501</v>
      </c>
      <c r="B1971" s="119" t="s">
        <v>96</v>
      </c>
      <c r="C1971" s="110">
        <v>11500000</v>
      </c>
      <c r="D1971" s="115" t="s">
        <v>1082</v>
      </c>
      <c r="E1971" s="95"/>
      <c r="F1971" s="35">
        <v>16335443</v>
      </c>
    </row>
    <row r="1972" spans="1:6" s="4" customFormat="1" ht="6.75" customHeight="1">
      <c r="A1972" s="96"/>
      <c r="B1972" s="97"/>
      <c r="C1972" s="98"/>
      <c r="D1972" s="97"/>
      <c r="E1972" s="99"/>
      <c r="F1972" s="100"/>
    </row>
    <row r="1973" spans="1:6" s="4" customFormat="1" ht="12">
      <c r="A1973" s="113">
        <v>470502</v>
      </c>
      <c r="B1973" s="120" t="s">
        <v>97</v>
      </c>
      <c r="C1973" s="110"/>
      <c r="D1973" s="115"/>
      <c r="E1973" s="95"/>
      <c r="F1973" s="33">
        <f>+F1974</f>
        <v>2287343</v>
      </c>
    </row>
    <row r="1974" spans="1:6" s="4" customFormat="1" ht="12">
      <c r="A1974" s="106">
        <v>470502</v>
      </c>
      <c r="B1974" s="119" t="s">
        <v>97</v>
      </c>
      <c r="C1974" s="110">
        <v>11500000</v>
      </c>
      <c r="D1974" s="115" t="s">
        <v>1082</v>
      </c>
      <c r="E1974" s="95"/>
      <c r="F1974" s="35">
        <v>2287343</v>
      </c>
    </row>
    <row r="1975" spans="1:6" s="4" customFormat="1" ht="7.5" customHeight="1">
      <c r="A1975" s="96"/>
      <c r="B1975" s="97"/>
      <c r="C1975" s="98"/>
      <c r="D1975" s="97"/>
      <c r="E1975" s="99"/>
      <c r="F1975" s="100"/>
    </row>
    <row r="1976" spans="1:6" s="4" customFormat="1" ht="12">
      <c r="A1976" s="113">
        <v>470505</v>
      </c>
      <c r="B1976" s="120" t="s">
        <v>98</v>
      </c>
      <c r="C1976" s="110"/>
      <c r="D1976" s="115"/>
      <c r="E1976" s="95"/>
      <c r="F1976" s="33">
        <f>+F1977</f>
        <v>243509513</v>
      </c>
    </row>
    <row r="1977" spans="1:6" s="4" customFormat="1" ht="12">
      <c r="A1977" s="106">
        <v>470505</v>
      </c>
      <c r="B1977" s="119" t="s">
        <v>98</v>
      </c>
      <c r="C1977" s="110">
        <v>11500000</v>
      </c>
      <c r="D1977" s="115" t="s">
        <v>1082</v>
      </c>
      <c r="E1977" s="95"/>
      <c r="F1977" s="35">
        <v>243509513</v>
      </c>
    </row>
    <row r="1978" spans="1:6" s="4" customFormat="1" ht="8.25" customHeight="1">
      <c r="A1978" s="96"/>
      <c r="B1978" s="97"/>
      <c r="C1978" s="98"/>
      <c r="D1978" s="97"/>
      <c r="E1978" s="99"/>
      <c r="F1978" s="100"/>
    </row>
    <row r="1979" spans="1:6" s="4" customFormat="1" ht="12">
      <c r="A1979" s="113">
        <v>470506</v>
      </c>
      <c r="B1979" s="120" t="s">
        <v>1083</v>
      </c>
      <c r="C1979" s="110"/>
      <c r="D1979" s="115"/>
      <c r="E1979" s="95"/>
      <c r="F1979" s="33">
        <f>+F1980</f>
        <v>11981177511</v>
      </c>
    </row>
    <row r="1980" spans="1:6" s="4" customFormat="1" ht="12">
      <c r="A1980" s="106">
        <v>470506</v>
      </c>
      <c r="B1980" s="119" t="s">
        <v>1083</v>
      </c>
      <c r="C1980" s="110">
        <v>11500000</v>
      </c>
      <c r="D1980" s="115" t="s">
        <v>1082</v>
      </c>
      <c r="E1980" s="121"/>
      <c r="F1980" s="121">
        <v>11981177511</v>
      </c>
    </row>
    <row r="1981" spans="1:6" s="4" customFormat="1" ht="12">
      <c r="A1981" s="96"/>
      <c r="B1981" s="97"/>
      <c r="C1981" s="98"/>
      <c r="D1981" s="97"/>
      <c r="E1981" s="99"/>
      <c r="F1981" s="100"/>
    </row>
    <row r="1982" spans="1:6" s="4" customFormat="1" ht="12">
      <c r="A1982" s="113">
        <v>472002</v>
      </c>
      <c r="B1982" s="120" t="s">
        <v>99</v>
      </c>
      <c r="C1982" s="110"/>
      <c r="D1982" s="115"/>
      <c r="E1982" s="121"/>
      <c r="F1982" s="122">
        <f>+F1983</f>
        <v>797</v>
      </c>
    </row>
    <row r="1983" spans="1:6" s="4" customFormat="1" ht="12">
      <c r="A1983" s="106">
        <v>472002</v>
      </c>
      <c r="B1983" s="119" t="s">
        <v>3469</v>
      </c>
      <c r="C1983" s="110">
        <v>11500000</v>
      </c>
      <c r="D1983" s="115" t="s">
        <v>1082</v>
      </c>
      <c r="E1983" s="121"/>
      <c r="F1983" s="121">
        <v>797</v>
      </c>
    </row>
    <row r="1984" spans="1:6" s="4" customFormat="1" ht="6.75" customHeight="1">
      <c r="A1984" s="96"/>
      <c r="B1984" s="97"/>
      <c r="C1984" s="98"/>
      <c r="D1984" s="97"/>
      <c r="E1984" s="99"/>
      <c r="F1984" s="100"/>
    </row>
    <row r="1985" spans="1:6" s="4" customFormat="1" ht="12">
      <c r="A1985" s="113">
        <v>472201</v>
      </c>
      <c r="B1985" s="120" t="s">
        <v>100</v>
      </c>
      <c r="C1985" s="110"/>
      <c r="D1985" s="115"/>
      <c r="E1985" s="121"/>
      <c r="F1985" s="122">
        <f>+F1986</f>
        <v>19162013</v>
      </c>
    </row>
    <row r="1986" spans="1:6" s="4" customFormat="1" ht="12">
      <c r="A1986" s="113">
        <v>472201</v>
      </c>
      <c r="B1986" s="120" t="s">
        <v>100</v>
      </c>
      <c r="C1986" s="110">
        <v>11500000</v>
      </c>
      <c r="D1986" s="115" t="s">
        <v>1082</v>
      </c>
      <c r="E1986" s="121"/>
      <c r="F1986" s="121">
        <v>19162013</v>
      </c>
    </row>
    <row r="1987" spans="1:6" s="4" customFormat="1" ht="5.25" customHeight="1">
      <c r="A1987" s="96"/>
      <c r="B1987" s="97"/>
      <c r="C1987" s="98"/>
      <c r="D1987" s="97"/>
      <c r="E1987" s="99"/>
      <c r="F1987" s="100"/>
    </row>
    <row r="1988" spans="1:6" s="4" customFormat="1" ht="12">
      <c r="A1988" s="123">
        <v>472203</v>
      </c>
      <c r="B1988" s="124" t="s">
        <v>101</v>
      </c>
      <c r="C1988" s="110"/>
      <c r="D1988" s="115"/>
      <c r="E1988" s="121"/>
      <c r="F1988" s="122">
        <f>+F1989</f>
        <v>29404216</v>
      </c>
    </row>
    <row r="1989" spans="1:6" s="4" customFormat="1" ht="12">
      <c r="A1989" s="118">
        <v>472203</v>
      </c>
      <c r="B1989" s="125" t="s">
        <v>101</v>
      </c>
      <c r="C1989" s="126" t="s">
        <v>102</v>
      </c>
      <c r="D1989" s="117" t="s">
        <v>103</v>
      </c>
      <c r="E1989" s="95"/>
      <c r="F1989" s="35">
        <v>29404216</v>
      </c>
    </row>
    <row r="1990" spans="1:6" s="4" customFormat="1" ht="8.25" customHeight="1">
      <c r="A1990" s="96"/>
      <c r="B1990" s="97"/>
      <c r="C1990" s="98"/>
      <c r="D1990" s="97"/>
      <c r="E1990" s="99"/>
      <c r="F1990" s="100"/>
    </row>
    <row r="1991" spans="1:6" s="4" customFormat="1" ht="12">
      <c r="A1991" s="113">
        <v>472205</v>
      </c>
      <c r="B1991" s="120" t="s">
        <v>104</v>
      </c>
      <c r="C1991" s="126"/>
      <c r="D1991" s="117"/>
      <c r="E1991" s="95"/>
      <c r="F1991" s="33">
        <f>+F1992</f>
        <v>14180436</v>
      </c>
    </row>
    <row r="1992" spans="1:6" s="4" customFormat="1" ht="12">
      <c r="A1992" s="106">
        <v>472205</v>
      </c>
      <c r="B1992" s="119" t="s">
        <v>104</v>
      </c>
      <c r="C1992" s="110">
        <v>11500000</v>
      </c>
      <c r="D1992" s="115" t="s">
        <v>1082</v>
      </c>
      <c r="E1992" s="95"/>
      <c r="F1992" s="35">
        <v>14180436</v>
      </c>
    </row>
    <row r="1993" spans="1:6" s="4" customFormat="1" ht="6.75" customHeight="1">
      <c r="A1993" s="96"/>
      <c r="B1993" s="97"/>
      <c r="C1993" s="98"/>
      <c r="D1993" s="97"/>
      <c r="E1993" s="99"/>
      <c r="F1993" s="100"/>
    </row>
    <row r="1994" spans="1:6" s="4" customFormat="1" ht="12">
      <c r="A1994" s="113">
        <v>472501</v>
      </c>
      <c r="B1994" s="120" t="s">
        <v>105</v>
      </c>
      <c r="C1994" s="110"/>
      <c r="D1994" s="115"/>
      <c r="E1994" s="95"/>
      <c r="F1994" s="33">
        <f>+F1995</f>
        <v>4518</v>
      </c>
    </row>
    <row r="1995" spans="1:6" s="4" customFormat="1" ht="12">
      <c r="A1995" s="106">
        <v>472501</v>
      </c>
      <c r="B1995" s="119" t="s">
        <v>105</v>
      </c>
      <c r="C1995" s="110">
        <v>11500000</v>
      </c>
      <c r="D1995" s="115" t="s">
        <v>1082</v>
      </c>
      <c r="E1995" s="95"/>
      <c r="F1995" s="35">
        <v>4518</v>
      </c>
    </row>
    <row r="1996" spans="1:6" s="4" customFormat="1" ht="6.75" customHeight="1">
      <c r="A1996" s="96"/>
      <c r="B1996" s="97"/>
      <c r="C1996" s="98"/>
      <c r="D1996" s="97"/>
      <c r="E1996" s="99"/>
      <c r="F1996" s="100"/>
    </row>
    <row r="1997" spans="1:6" s="4" customFormat="1" ht="12">
      <c r="A1997" s="87">
        <v>510303</v>
      </c>
      <c r="B1997" s="120" t="s">
        <v>106</v>
      </c>
      <c r="C1997" s="110"/>
      <c r="D1997" s="115"/>
      <c r="E1997" s="95"/>
      <c r="F1997" s="33">
        <f>+F1998+F1999+F2000+F2001</f>
        <v>129763</v>
      </c>
    </row>
    <row r="1998" spans="1:6" s="4" customFormat="1" ht="12">
      <c r="A1998" s="94">
        <v>510303</v>
      </c>
      <c r="B1998" s="119" t="s">
        <v>106</v>
      </c>
      <c r="C1998" s="107" t="s">
        <v>1073</v>
      </c>
      <c r="D1998" s="115" t="s">
        <v>107</v>
      </c>
      <c r="E1998" s="95"/>
      <c r="F1998" s="35">
        <v>4583</v>
      </c>
    </row>
    <row r="1999" spans="1:6" s="4" customFormat="1" ht="12">
      <c r="A1999" s="94">
        <v>510303</v>
      </c>
      <c r="B1999" s="119" t="s">
        <v>106</v>
      </c>
      <c r="C1999" s="110" t="s">
        <v>1084</v>
      </c>
      <c r="D1999" s="115" t="s">
        <v>108</v>
      </c>
      <c r="E1999" s="95"/>
      <c r="F1999" s="35">
        <v>78473</v>
      </c>
    </row>
    <row r="2000" spans="1:6" s="4" customFormat="1" ht="12">
      <c r="A2000" s="94">
        <v>510303</v>
      </c>
      <c r="B2000" s="119" t="s">
        <v>106</v>
      </c>
      <c r="C2000" s="103" t="s">
        <v>109</v>
      </c>
      <c r="D2000" s="115" t="s">
        <v>80</v>
      </c>
      <c r="E2000" s="95"/>
      <c r="F2000" s="35">
        <f>29305+15757</f>
        <v>45062</v>
      </c>
    </row>
    <row r="2001" spans="1:6" s="4" customFormat="1" ht="12">
      <c r="A2001" s="94">
        <v>510303</v>
      </c>
      <c r="B2001" s="119" t="s">
        <v>106</v>
      </c>
      <c r="C2001" s="112" t="s">
        <v>110</v>
      </c>
      <c r="D2001" s="115" t="s">
        <v>111</v>
      </c>
      <c r="E2001" s="95"/>
      <c r="F2001" s="35">
        <v>1645</v>
      </c>
    </row>
    <row r="2002" spans="1:6" s="4" customFormat="1" ht="5.25" customHeight="1">
      <c r="A2002" s="96"/>
      <c r="B2002" s="97"/>
      <c r="C2002" s="98"/>
      <c r="D2002" s="97"/>
      <c r="E2002" s="99"/>
      <c r="F2002" s="100"/>
    </row>
    <row r="2003" spans="1:6" s="4" customFormat="1" ht="12">
      <c r="A2003" s="87">
        <v>510305</v>
      </c>
      <c r="B2003" s="120" t="s">
        <v>112</v>
      </c>
      <c r="C2003" s="112"/>
      <c r="D2003" s="115"/>
      <c r="E2003" s="95"/>
      <c r="F2003" s="33">
        <f>+F2004</f>
        <v>42620</v>
      </c>
    </row>
    <row r="2004" spans="1:6" s="4" customFormat="1" ht="12">
      <c r="A2004" s="94">
        <v>510305</v>
      </c>
      <c r="B2004" s="119" t="s">
        <v>112</v>
      </c>
      <c r="C2004" s="103" t="s">
        <v>109</v>
      </c>
      <c r="D2004" s="115" t="s">
        <v>113</v>
      </c>
      <c r="E2004" s="95"/>
      <c r="F2004" s="35">
        <v>42620</v>
      </c>
    </row>
    <row r="2005" spans="1:6" s="4" customFormat="1" ht="6.75" customHeight="1">
      <c r="A2005" s="96"/>
      <c r="B2005" s="97"/>
      <c r="C2005" s="98"/>
      <c r="D2005" s="97"/>
      <c r="E2005" s="99"/>
      <c r="F2005" s="100"/>
    </row>
    <row r="2006" spans="1:6" s="4" customFormat="1" ht="12">
      <c r="A2006" s="87">
        <v>510306</v>
      </c>
      <c r="B2006" s="120" t="s">
        <v>114</v>
      </c>
      <c r="C2006" s="103"/>
      <c r="D2006" s="115"/>
      <c r="E2006" s="95"/>
      <c r="F2006" s="33">
        <f>+F2007+F2008+F2009</f>
        <v>545243</v>
      </c>
    </row>
    <row r="2007" spans="1:6" s="4" customFormat="1" ht="12">
      <c r="A2007" s="94">
        <v>510306</v>
      </c>
      <c r="B2007" s="119" t="s">
        <v>114</v>
      </c>
      <c r="C2007" s="110" t="s">
        <v>1084</v>
      </c>
      <c r="D2007" s="115" t="s">
        <v>115</v>
      </c>
      <c r="E2007" s="95"/>
      <c r="F2007" s="35">
        <v>27044</v>
      </c>
    </row>
    <row r="2008" spans="1:6" s="4" customFormat="1" ht="12">
      <c r="A2008" s="94">
        <v>510306</v>
      </c>
      <c r="B2008" s="119" t="s">
        <v>114</v>
      </c>
      <c r="C2008" s="112" t="s">
        <v>116</v>
      </c>
      <c r="D2008" s="115" t="s">
        <v>117</v>
      </c>
      <c r="E2008" s="95"/>
      <c r="F2008" s="35">
        <v>194969</v>
      </c>
    </row>
    <row r="2009" spans="1:6" s="4" customFormat="1" ht="12">
      <c r="A2009" s="94">
        <v>510306</v>
      </c>
      <c r="B2009" s="119" t="s">
        <v>114</v>
      </c>
      <c r="C2009" s="103" t="s">
        <v>109</v>
      </c>
      <c r="D2009" s="115" t="s">
        <v>80</v>
      </c>
      <c r="E2009" s="95"/>
      <c r="F2009" s="35">
        <f>314204+9026</f>
        <v>323230</v>
      </c>
    </row>
    <row r="2010" spans="1:6" s="4" customFormat="1" ht="5.25" customHeight="1">
      <c r="A2010" s="96"/>
      <c r="B2010" s="97"/>
      <c r="C2010" s="98"/>
      <c r="D2010" s="97"/>
      <c r="E2010" s="99"/>
      <c r="F2010" s="100"/>
    </row>
    <row r="2011" spans="1:6" s="4" customFormat="1" ht="12">
      <c r="A2011" s="87">
        <v>510401</v>
      </c>
      <c r="B2011" s="120" t="s">
        <v>118</v>
      </c>
      <c r="C2011" s="103"/>
      <c r="D2011" s="115"/>
      <c r="E2011" s="95"/>
      <c r="F2011" s="33">
        <f>+F2012</f>
        <v>8033633</v>
      </c>
    </row>
    <row r="2012" spans="1:6" s="4" customFormat="1" ht="12">
      <c r="A2012" s="94">
        <v>510401</v>
      </c>
      <c r="B2012" s="119" t="s">
        <v>118</v>
      </c>
      <c r="C2012" s="110" t="s">
        <v>119</v>
      </c>
      <c r="D2012" s="115" t="s">
        <v>120</v>
      </c>
      <c r="E2012" s="95"/>
      <c r="F2012" s="35">
        <v>8033633</v>
      </c>
    </row>
    <row r="2013" spans="1:6" s="4" customFormat="1" ht="5.25" customHeight="1">
      <c r="A2013" s="96"/>
      <c r="B2013" s="97"/>
      <c r="C2013" s="98"/>
      <c r="D2013" s="97"/>
      <c r="E2013" s="99"/>
      <c r="F2013" s="100"/>
    </row>
    <row r="2014" spans="1:6" s="4" customFormat="1" ht="12">
      <c r="A2014" s="87">
        <v>510402</v>
      </c>
      <c r="B2014" s="120" t="s">
        <v>121</v>
      </c>
      <c r="C2014" s="110"/>
      <c r="D2014" s="115"/>
      <c r="E2014" s="95"/>
      <c r="F2014" s="33">
        <f>+F2015</f>
        <v>51908</v>
      </c>
    </row>
    <row r="2015" spans="1:6" s="4" customFormat="1" ht="12">
      <c r="A2015" s="94">
        <v>510402</v>
      </c>
      <c r="B2015" s="119" t="s">
        <v>121</v>
      </c>
      <c r="C2015" s="110" t="s">
        <v>122</v>
      </c>
      <c r="D2015" s="115" t="s">
        <v>123</v>
      </c>
      <c r="E2015" s="95"/>
      <c r="F2015" s="35">
        <v>51908</v>
      </c>
    </row>
    <row r="2016" spans="1:6" s="4" customFormat="1" ht="12">
      <c r="A2016" s="96"/>
      <c r="B2016" s="97"/>
      <c r="C2016" s="98"/>
      <c r="D2016" s="97"/>
      <c r="E2016" s="99"/>
      <c r="F2016" s="100"/>
    </row>
    <row r="2017" spans="1:6" s="4" customFormat="1" ht="12">
      <c r="A2017" s="87">
        <v>510403</v>
      </c>
      <c r="B2017" s="120" t="s">
        <v>124</v>
      </c>
      <c r="C2017" s="110"/>
      <c r="D2017" s="115"/>
      <c r="E2017" s="95"/>
      <c r="F2017" s="33">
        <f>+F2018</f>
        <v>2755388</v>
      </c>
    </row>
    <row r="2018" spans="1:6" s="4" customFormat="1" ht="12">
      <c r="A2018" s="94">
        <v>510403</v>
      </c>
      <c r="B2018" s="119" t="s">
        <v>124</v>
      </c>
      <c r="C2018" s="103" t="s">
        <v>125</v>
      </c>
      <c r="D2018" s="115" t="s">
        <v>126</v>
      </c>
      <c r="E2018" s="95"/>
      <c r="F2018" s="35">
        <v>2755388</v>
      </c>
    </row>
    <row r="2019" spans="1:6" s="4" customFormat="1" ht="12">
      <c r="A2019" s="96"/>
      <c r="B2019" s="97"/>
      <c r="C2019" s="98"/>
      <c r="D2019" s="97"/>
      <c r="E2019" s="99"/>
      <c r="F2019" s="100"/>
    </row>
    <row r="2020" spans="1:6" s="4" customFormat="1" ht="12">
      <c r="A2020" s="87">
        <v>512001</v>
      </c>
      <c r="B2020" s="120" t="s">
        <v>127</v>
      </c>
      <c r="C2020" s="110"/>
      <c r="D2020" s="115"/>
      <c r="E2020" s="95"/>
      <c r="F2020" s="33">
        <f>+F2021</f>
        <v>125126</v>
      </c>
    </row>
    <row r="2021" spans="1:6" s="4" customFormat="1" ht="12">
      <c r="A2021" s="94">
        <v>512001</v>
      </c>
      <c r="B2021" s="119" t="s">
        <v>127</v>
      </c>
      <c r="C2021" s="110">
        <v>210111001</v>
      </c>
      <c r="D2021" s="115" t="s">
        <v>90</v>
      </c>
      <c r="E2021" s="95"/>
      <c r="F2021" s="35">
        <v>125126</v>
      </c>
    </row>
    <row r="2022" spans="1:6" s="4" customFormat="1" ht="12">
      <c r="A2022" s="96"/>
      <c r="B2022" s="97"/>
      <c r="C2022" s="98"/>
      <c r="D2022" s="97"/>
      <c r="E2022" s="99"/>
      <c r="F2022" s="100"/>
    </row>
    <row r="2023" spans="1:6" s="4" customFormat="1" ht="12">
      <c r="A2023" s="87">
        <v>512011</v>
      </c>
      <c r="B2023" s="120" t="s">
        <v>128</v>
      </c>
      <c r="C2023" s="110"/>
      <c r="D2023" s="115"/>
      <c r="E2023" s="95"/>
      <c r="F2023" s="33">
        <f>+F2024+F2025+F2026</f>
        <v>6855</v>
      </c>
    </row>
    <row r="2024" spans="1:6" s="4" customFormat="1" ht="12">
      <c r="A2024" s="94">
        <v>512011</v>
      </c>
      <c r="B2024" s="119" t="s">
        <v>128</v>
      </c>
      <c r="C2024" s="110">
        <v>117373000</v>
      </c>
      <c r="D2024" s="115" t="s">
        <v>129</v>
      </c>
      <c r="E2024" s="95"/>
      <c r="F2024" s="35">
        <v>1850</v>
      </c>
    </row>
    <row r="2025" spans="1:6" s="4" customFormat="1" ht="12">
      <c r="A2025" s="94">
        <v>512011</v>
      </c>
      <c r="B2025" s="119" t="s">
        <v>128</v>
      </c>
      <c r="C2025" s="110">
        <v>210111001</v>
      </c>
      <c r="D2025" s="115" t="s">
        <v>90</v>
      </c>
      <c r="E2025" s="95"/>
      <c r="F2025" s="35">
        <v>2237</v>
      </c>
    </row>
    <row r="2026" spans="1:6" s="4" customFormat="1" ht="12">
      <c r="A2026" s="94">
        <v>512011</v>
      </c>
      <c r="B2026" s="119" t="s">
        <v>128</v>
      </c>
      <c r="C2026" s="103">
        <v>112525000</v>
      </c>
      <c r="D2026" s="115" t="s">
        <v>130</v>
      </c>
      <c r="E2026" s="95"/>
      <c r="F2026" s="35">
        <v>2768</v>
      </c>
    </row>
    <row r="2027" spans="1:6" s="4" customFormat="1" ht="12">
      <c r="A2027" s="96"/>
      <c r="B2027" s="97"/>
      <c r="C2027" s="98"/>
      <c r="D2027" s="97"/>
      <c r="E2027" s="99"/>
      <c r="F2027" s="100"/>
    </row>
    <row r="2028" spans="1:6" s="4" customFormat="1" ht="12">
      <c r="A2028" s="113">
        <v>540301</v>
      </c>
      <c r="B2028" s="114" t="s">
        <v>131</v>
      </c>
      <c r="C2028" s="103"/>
      <c r="D2028" s="115"/>
      <c r="E2028" s="95"/>
      <c r="F2028" s="33">
        <f>+F2029</f>
        <v>1200340837</v>
      </c>
    </row>
    <row r="2029" spans="1:6" s="4" customFormat="1" ht="12">
      <c r="A2029" s="106">
        <v>540301</v>
      </c>
      <c r="B2029" s="111" t="s">
        <v>131</v>
      </c>
      <c r="C2029" s="112" t="s">
        <v>132</v>
      </c>
      <c r="D2029" s="115" t="s">
        <v>133</v>
      </c>
      <c r="E2029" s="95"/>
      <c r="F2029" s="35">
        <v>1200340837</v>
      </c>
    </row>
    <row r="2030" spans="1:6" s="4" customFormat="1" ht="12">
      <c r="A2030" s="96"/>
      <c r="B2030" s="97"/>
      <c r="C2030" s="98"/>
      <c r="D2030" s="97"/>
      <c r="E2030" s="99"/>
      <c r="F2030" s="100"/>
    </row>
    <row r="2031" spans="1:6" s="4" customFormat="1" ht="12">
      <c r="A2031" s="87">
        <v>540304</v>
      </c>
      <c r="B2031" s="127" t="s">
        <v>134</v>
      </c>
      <c r="C2031" s="112"/>
      <c r="D2031" s="115"/>
      <c r="E2031" s="95"/>
      <c r="F2031" s="33">
        <f>+SUM(F2032:F2047)</f>
        <v>978928316</v>
      </c>
    </row>
    <row r="2032" spans="1:6" s="4" customFormat="1" ht="12">
      <c r="A2032" s="94">
        <v>540304</v>
      </c>
      <c r="B2032" s="128" t="s">
        <v>134</v>
      </c>
      <c r="C2032" s="103">
        <v>821700000</v>
      </c>
      <c r="D2032" s="115" t="s">
        <v>135</v>
      </c>
      <c r="E2032" s="95"/>
      <c r="F2032" s="35">
        <v>5225172</v>
      </c>
    </row>
    <row r="2033" spans="1:6" s="4" customFormat="1" ht="12">
      <c r="A2033" s="106">
        <v>540304</v>
      </c>
      <c r="B2033" s="128" t="s">
        <v>134</v>
      </c>
      <c r="C2033" s="107" t="s">
        <v>1073</v>
      </c>
      <c r="D2033" s="115" t="s">
        <v>136</v>
      </c>
      <c r="E2033" s="95"/>
      <c r="F2033" s="35">
        <v>497229306</v>
      </c>
    </row>
    <row r="2034" spans="1:6" s="4" customFormat="1" ht="12">
      <c r="A2034" s="106">
        <v>540304</v>
      </c>
      <c r="B2034" s="128" t="s">
        <v>134</v>
      </c>
      <c r="C2034" s="112" t="s">
        <v>1067</v>
      </c>
      <c r="D2034" s="115" t="s">
        <v>137</v>
      </c>
      <c r="E2034" s="95"/>
      <c r="F2034" s="35">
        <v>70777515</v>
      </c>
    </row>
    <row r="2035" spans="1:6" s="4" customFormat="1" ht="12">
      <c r="A2035" s="106">
        <v>540304</v>
      </c>
      <c r="B2035" s="128" t="s">
        <v>134</v>
      </c>
      <c r="C2035" s="107" t="s">
        <v>138</v>
      </c>
      <c r="D2035" s="115" t="s">
        <v>139</v>
      </c>
      <c r="E2035" s="95"/>
      <c r="F2035" s="35">
        <v>10972553</v>
      </c>
    </row>
    <row r="2036" spans="1:6" s="4" customFormat="1" ht="12">
      <c r="A2036" s="106">
        <v>540304</v>
      </c>
      <c r="B2036" s="128" t="s">
        <v>134</v>
      </c>
      <c r="C2036" s="103">
        <v>826076000</v>
      </c>
      <c r="D2036" s="115" t="s">
        <v>140</v>
      </c>
      <c r="E2036" s="95"/>
      <c r="F2036" s="35">
        <v>6424928</v>
      </c>
    </row>
    <row r="2037" spans="1:6" s="4" customFormat="1" ht="12">
      <c r="A2037" s="106">
        <v>540304</v>
      </c>
      <c r="B2037" s="128" t="s">
        <v>134</v>
      </c>
      <c r="C2037" s="107" t="s">
        <v>141</v>
      </c>
      <c r="D2037" s="115" t="s">
        <v>142</v>
      </c>
      <c r="E2037" s="95"/>
      <c r="F2037" s="35">
        <v>37702336</v>
      </c>
    </row>
    <row r="2038" spans="1:6" s="4" customFormat="1" ht="12">
      <c r="A2038" s="106">
        <v>540304</v>
      </c>
      <c r="B2038" s="128" t="s">
        <v>134</v>
      </c>
      <c r="C2038" s="112" t="s">
        <v>143</v>
      </c>
      <c r="D2038" s="115" t="s">
        <v>144</v>
      </c>
      <c r="E2038" s="95"/>
      <c r="F2038" s="35">
        <v>57903426</v>
      </c>
    </row>
    <row r="2039" spans="1:6" s="4" customFormat="1" ht="12">
      <c r="A2039" s="106">
        <v>540304</v>
      </c>
      <c r="B2039" s="128" t="s">
        <v>134</v>
      </c>
      <c r="C2039" s="107" t="s">
        <v>145</v>
      </c>
      <c r="D2039" s="115" t="s">
        <v>146</v>
      </c>
      <c r="E2039" s="95"/>
      <c r="F2039" s="35">
        <v>69734696</v>
      </c>
    </row>
    <row r="2040" spans="1:6" s="4" customFormat="1" ht="12">
      <c r="A2040" s="106">
        <v>540304</v>
      </c>
      <c r="B2040" s="128" t="s">
        <v>134</v>
      </c>
      <c r="C2040" s="107" t="s">
        <v>147</v>
      </c>
      <c r="D2040" s="115" t="s">
        <v>148</v>
      </c>
      <c r="E2040" s="95"/>
      <c r="F2040" s="35">
        <v>64604353</v>
      </c>
    </row>
    <row r="2041" spans="1:6" s="4" customFormat="1" ht="12">
      <c r="A2041" s="106">
        <v>540304</v>
      </c>
      <c r="B2041" s="128" t="s">
        <v>134</v>
      </c>
      <c r="C2041" s="112" t="s">
        <v>1065</v>
      </c>
      <c r="D2041" s="115" t="s">
        <v>149</v>
      </c>
      <c r="E2041" s="95"/>
      <c r="F2041" s="35">
        <v>24668847</v>
      </c>
    </row>
    <row r="2042" spans="1:6" s="4" customFormat="1" ht="12">
      <c r="A2042" s="106">
        <v>540304</v>
      </c>
      <c r="B2042" s="128" t="s">
        <v>134</v>
      </c>
      <c r="C2042" s="110" t="s">
        <v>150</v>
      </c>
      <c r="D2042" s="115" t="s">
        <v>151</v>
      </c>
      <c r="E2042" s="95"/>
      <c r="F2042" s="35">
        <v>17741968</v>
      </c>
    </row>
    <row r="2043" spans="1:6" s="4" customFormat="1" ht="12">
      <c r="A2043" s="106">
        <v>540304</v>
      </c>
      <c r="B2043" s="128" t="s">
        <v>134</v>
      </c>
      <c r="C2043" s="110" t="s">
        <v>1063</v>
      </c>
      <c r="D2043" s="115" t="s">
        <v>152</v>
      </c>
      <c r="E2043" s="95"/>
      <c r="F2043" s="35">
        <v>55769677</v>
      </c>
    </row>
    <row r="2044" spans="1:6" s="4" customFormat="1" ht="12">
      <c r="A2044" s="106">
        <v>540304</v>
      </c>
      <c r="B2044" s="128" t="s">
        <v>134</v>
      </c>
      <c r="C2044" s="107" t="s">
        <v>153</v>
      </c>
      <c r="D2044" s="115" t="s">
        <v>154</v>
      </c>
      <c r="E2044" s="95"/>
      <c r="F2044" s="35">
        <v>15800256</v>
      </c>
    </row>
    <row r="2045" spans="1:6" s="4" customFormat="1" ht="12">
      <c r="A2045" s="106">
        <v>540304</v>
      </c>
      <c r="B2045" s="128" t="s">
        <v>134</v>
      </c>
      <c r="C2045" s="110" t="s">
        <v>155</v>
      </c>
      <c r="D2045" s="115" t="s">
        <v>156</v>
      </c>
      <c r="E2045" s="95"/>
      <c r="F2045" s="35">
        <v>30406112</v>
      </c>
    </row>
    <row r="2046" spans="1:6" s="4" customFormat="1" ht="12">
      <c r="A2046" s="106">
        <v>540304</v>
      </c>
      <c r="B2046" s="128" t="s">
        <v>134</v>
      </c>
      <c r="C2046" s="107" t="s">
        <v>157</v>
      </c>
      <c r="D2046" s="115" t="s">
        <v>158</v>
      </c>
      <c r="E2046" s="95"/>
      <c r="F2046" s="35">
        <v>13149590</v>
      </c>
    </row>
    <row r="2047" spans="1:6" s="4" customFormat="1" ht="12">
      <c r="A2047" s="106">
        <v>540304</v>
      </c>
      <c r="B2047" s="128" t="s">
        <v>134</v>
      </c>
      <c r="C2047" s="107" t="s">
        <v>159</v>
      </c>
      <c r="D2047" s="115" t="s">
        <v>160</v>
      </c>
      <c r="E2047" s="95"/>
      <c r="F2047" s="35">
        <v>817581</v>
      </c>
    </row>
    <row r="2048" spans="1:6" s="4" customFormat="1" ht="12">
      <c r="A2048" s="96"/>
      <c r="B2048" s="97"/>
      <c r="C2048" s="98"/>
      <c r="D2048" s="97"/>
      <c r="E2048" s="99"/>
      <c r="F2048" s="100"/>
    </row>
    <row r="2049" spans="1:6" s="4" customFormat="1" ht="12">
      <c r="A2049" s="113">
        <v>540305</v>
      </c>
      <c r="B2049" s="129" t="s">
        <v>161</v>
      </c>
      <c r="C2049" s="107"/>
      <c r="D2049" s="115"/>
      <c r="E2049" s="95"/>
      <c r="F2049" s="33">
        <f>+F2050</f>
        <v>1444832</v>
      </c>
    </row>
    <row r="2050" spans="1:6" s="4" customFormat="1" ht="12">
      <c r="A2050" s="106">
        <v>540305</v>
      </c>
      <c r="B2050" s="130" t="s">
        <v>161</v>
      </c>
      <c r="C2050" s="107" t="s">
        <v>162</v>
      </c>
      <c r="D2050" s="115" t="s">
        <v>1082</v>
      </c>
      <c r="E2050" s="95"/>
      <c r="F2050" s="35">
        <v>1444832</v>
      </c>
    </row>
    <row r="2051" spans="1:6" s="4" customFormat="1" ht="12">
      <c r="A2051" s="96"/>
      <c r="B2051" s="97"/>
      <c r="C2051" s="98"/>
      <c r="D2051" s="97"/>
      <c r="E2051" s="99"/>
      <c r="F2051" s="100"/>
    </row>
    <row r="2052" spans="1:6" s="4" customFormat="1" ht="16.5">
      <c r="A2052" s="113">
        <v>540311</v>
      </c>
      <c r="B2052" s="127" t="s">
        <v>163</v>
      </c>
      <c r="C2052" s="107"/>
      <c r="D2052" s="115"/>
      <c r="E2052" s="95"/>
      <c r="F2052" s="33">
        <f>+SUM(F2053:F2068)</f>
        <v>652189768</v>
      </c>
    </row>
    <row r="2053" spans="1:6" s="4" customFormat="1" ht="12">
      <c r="A2053" s="106">
        <v>540311</v>
      </c>
      <c r="B2053" s="130" t="s">
        <v>163</v>
      </c>
      <c r="C2053" s="103">
        <v>120205000</v>
      </c>
      <c r="D2053" s="111" t="s">
        <v>164</v>
      </c>
      <c r="E2053" s="95"/>
      <c r="F2053" s="35">
        <v>167013976</v>
      </c>
    </row>
    <row r="2054" spans="1:6" s="4" customFormat="1" ht="12">
      <c r="A2054" s="106">
        <v>540311</v>
      </c>
      <c r="B2054" s="130" t="s">
        <v>163</v>
      </c>
      <c r="C2054" s="103">
        <v>122613000</v>
      </c>
      <c r="D2054" s="111" t="s">
        <v>165</v>
      </c>
      <c r="E2054" s="95"/>
      <c r="F2054" s="35">
        <v>46520652</v>
      </c>
    </row>
    <row r="2055" spans="1:6" s="4" customFormat="1" ht="12">
      <c r="A2055" s="106">
        <v>540311</v>
      </c>
      <c r="B2055" s="130" t="s">
        <v>163</v>
      </c>
      <c r="C2055" s="103">
        <v>124552000</v>
      </c>
      <c r="D2055" s="111" t="s">
        <v>1076</v>
      </c>
      <c r="E2055" s="95"/>
      <c r="F2055" s="35">
        <v>35193748</v>
      </c>
    </row>
    <row r="2056" spans="1:6" s="4" customFormat="1" ht="12">
      <c r="A2056" s="106">
        <v>540311</v>
      </c>
      <c r="B2056" s="130" t="s">
        <v>163</v>
      </c>
      <c r="C2056" s="103">
        <v>125454000</v>
      </c>
      <c r="D2056" s="111" t="s">
        <v>1069</v>
      </c>
      <c r="E2056" s="95"/>
      <c r="F2056" s="35">
        <v>17355359</v>
      </c>
    </row>
    <row r="2057" spans="1:6" s="4" customFormat="1" ht="12">
      <c r="A2057" s="106">
        <v>540311</v>
      </c>
      <c r="B2057" s="130" t="s">
        <v>163</v>
      </c>
      <c r="C2057" s="103">
        <v>121708000</v>
      </c>
      <c r="D2057" s="111" t="s">
        <v>166</v>
      </c>
      <c r="E2057" s="95"/>
      <c r="F2057" s="35">
        <v>66292151</v>
      </c>
    </row>
    <row r="2058" spans="1:6" s="4" customFormat="1" ht="12">
      <c r="A2058" s="106">
        <v>540311</v>
      </c>
      <c r="B2058" s="130" t="s">
        <v>163</v>
      </c>
      <c r="C2058" s="103">
        <v>126663000</v>
      </c>
      <c r="D2058" s="111" t="s">
        <v>167</v>
      </c>
      <c r="E2058" s="95"/>
      <c r="F2058" s="35">
        <v>29344987</v>
      </c>
    </row>
    <row r="2059" spans="1:6" s="4" customFormat="1" ht="12">
      <c r="A2059" s="106">
        <v>540311</v>
      </c>
      <c r="B2059" s="130" t="s">
        <v>163</v>
      </c>
      <c r="C2059" s="103">
        <v>129373000</v>
      </c>
      <c r="D2059" s="111" t="s">
        <v>168</v>
      </c>
      <c r="E2059" s="95"/>
      <c r="F2059" s="35">
        <v>23593924</v>
      </c>
    </row>
    <row r="2060" spans="1:6" s="4" customFormat="1" ht="12">
      <c r="A2060" s="106">
        <v>540311</v>
      </c>
      <c r="B2060" s="130" t="s">
        <v>163</v>
      </c>
      <c r="C2060" s="103">
        <v>120676000</v>
      </c>
      <c r="D2060" s="111" t="s">
        <v>169</v>
      </c>
      <c r="E2060" s="95"/>
      <c r="F2060" s="35">
        <v>125218705</v>
      </c>
    </row>
    <row r="2061" spans="1:6" s="4" customFormat="1" ht="12">
      <c r="A2061" s="106">
        <v>540311</v>
      </c>
      <c r="B2061" s="130" t="s">
        <v>163</v>
      </c>
      <c r="C2061" s="103">
        <v>128868000</v>
      </c>
      <c r="D2061" s="111" t="s">
        <v>170</v>
      </c>
      <c r="E2061" s="95"/>
      <c r="F2061" s="35">
        <v>67506430</v>
      </c>
    </row>
    <row r="2062" spans="1:6" s="4" customFormat="1" ht="12">
      <c r="A2062" s="106">
        <v>540311</v>
      </c>
      <c r="B2062" s="130" t="s">
        <v>163</v>
      </c>
      <c r="C2062" s="103">
        <v>121647000</v>
      </c>
      <c r="D2062" s="111" t="s">
        <v>1070</v>
      </c>
      <c r="E2062" s="95"/>
      <c r="F2062" s="131">
        <v>25067348</v>
      </c>
    </row>
    <row r="2063" spans="1:6" s="4" customFormat="1" ht="12">
      <c r="A2063" s="106">
        <v>540311</v>
      </c>
      <c r="B2063" s="130" t="s">
        <v>163</v>
      </c>
      <c r="C2063" s="103">
        <v>125354000</v>
      </c>
      <c r="D2063" s="111" t="s">
        <v>1071</v>
      </c>
      <c r="E2063" s="95"/>
      <c r="F2063" s="131">
        <v>17753380</v>
      </c>
    </row>
    <row r="2064" spans="1:6" s="4" customFormat="1" ht="12">
      <c r="A2064" s="106">
        <v>540311</v>
      </c>
      <c r="B2064" s="130" t="s">
        <v>163</v>
      </c>
      <c r="C2064" s="103">
        <v>129254000</v>
      </c>
      <c r="D2064" s="111" t="s">
        <v>171</v>
      </c>
      <c r="E2064" s="95"/>
      <c r="F2064" s="131">
        <v>4687806</v>
      </c>
    </row>
    <row r="2065" spans="1:6" s="4" customFormat="1" ht="12">
      <c r="A2065" s="106">
        <v>540311</v>
      </c>
      <c r="B2065" s="130" t="s">
        <v>163</v>
      </c>
      <c r="C2065" s="103">
        <v>128870000</v>
      </c>
      <c r="D2065" s="111" t="s">
        <v>1072</v>
      </c>
      <c r="E2065" s="95"/>
      <c r="F2065" s="131">
        <v>9577756</v>
      </c>
    </row>
    <row r="2066" spans="1:6" s="4" customFormat="1" ht="12">
      <c r="A2066" s="106">
        <v>540311</v>
      </c>
      <c r="B2066" s="130" t="s">
        <v>163</v>
      </c>
      <c r="C2066" s="103">
        <v>124876000</v>
      </c>
      <c r="D2066" s="111" t="s">
        <v>172</v>
      </c>
      <c r="E2066" s="95"/>
      <c r="F2066" s="131">
        <v>1399468</v>
      </c>
    </row>
    <row r="2067" spans="1:6" s="4" customFormat="1" ht="12">
      <c r="A2067" s="106">
        <v>540311</v>
      </c>
      <c r="B2067" s="130" t="s">
        <v>163</v>
      </c>
      <c r="C2067" s="103">
        <v>129444000</v>
      </c>
      <c r="D2067" s="111" t="s">
        <v>173</v>
      </c>
      <c r="E2067" s="95"/>
      <c r="F2067" s="131">
        <v>9656798</v>
      </c>
    </row>
    <row r="2068" spans="1:6" s="4" customFormat="1" ht="12">
      <c r="A2068" s="106">
        <v>540311</v>
      </c>
      <c r="B2068" s="130" t="s">
        <v>163</v>
      </c>
      <c r="C2068" s="103">
        <v>127625000</v>
      </c>
      <c r="D2068" s="111" t="s">
        <v>174</v>
      </c>
      <c r="E2068" s="95"/>
      <c r="F2068" s="131">
        <v>6007280</v>
      </c>
    </row>
    <row r="2069" spans="1:6" s="4" customFormat="1" ht="12">
      <c r="A2069" s="96"/>
      <c r="B2069" s="97"/>
      <c r="C2069" s="98"/>
      <c r="D2069" s="97"/>
      <c r="E2069" s="99"/>
      <c r="F2069" s="100"/>
    </row>
    <row r="2070" spans="1:6" s="4" customFormat="1" ht="16.5">
      <c r="A2070" s="113">
        <v>540318</v>
      </c>
      <c r="B2070" s="127" t="s">
        <v>175</v>
      </c>
      <c r="C2070" s="103"/>
      <c r="D2070" s="111"/>
      <c r="E2070" s="95"/>
      <c r="F2070" s="132">
        <f>+F2071</f>
        <v>10472306</v>
      </c>
    </row>
    <row r="2071" spans="1:6" s="4" customFormat="1" ht="12">
      <c r="A2071" s="106">
        <v>540318</v>
      </c>
      <c r="B2071" s="130" t="s">
        <v>175</v>
      </c>
      <c r="C2071" s="103">
        <v>222711001</v>
      </c>
      <c r="D2071" s="111" t="s">
        <v>176</v>
      </c>
      <c r="E2071" s="95"/>
      <c r="F2071" s="131">
        <v>10472306</v>
      </c>
    </row>
    <row r="2072" spans="1:6" s="4" customFormat="1" ht="12">
      <c r="A2072" s="96"/>
      <c r="B2072" s="97"/>
      <c r="C2072" s="98"/>
      <c r="D2072" s="97"/>
      <c r="E2072" s="99"/>
      <c r="F2072" s="100"/>
    </row>
    <row r="2073" spans="1:6" s="4" customFormat="1" ht="12">
      <c r="A2073" s="113">
        <v>540329</v>
      </c>
      <c r="B2073" s="114" t="s">
        <v>177</v>
      </c>
      <c r="C2073" s="103"/>
      <c r="D2073" s="111"/>
      <c r="E2073" s="95"/>
      <c r="F2073" s="132">
        <f>+F2074</f>
        <v>3432818</v>
      </c>
    </row>
    <row r="2074" spans="1:6" s="4" customFormat="1" ht="12">
      <c r="A2074" s="106">
        <v>540329</v>
      </c>
      <c r="B2074" s="111" t="s">
        <v>177</v>
      </c>
      <c r="C2074" s="107" t="s">
        <v>178</v>
      </c>
      <c r="D2074" s="111" t="s">
        <v>179</v>
      </c>
      <c r="E2074" s="95"/>
      <c r="F2074" s="131">
        <v>3432818</v>
      </c>
    </row>
    <row r="2075" spans="1:6" s="4" customFormat="1" ht="12">
      <c r="A2075" s="96"/>
      <c r="B2075" s="97"/>
      <c r="C2075" s="98"/>
      <c r="D2075" s="97"/>
      <c r="E2075" s="99"/>
      <c r="F2075" s="100"/>
    </row>
    <row r="2076" spans="1:6" s="4" customFormat="1" ht="12">
      <c r="A2076" s="113">
        <v>540802</v>
      </c>
      <c r="B2076" s="114" t="s">
        <v>180</v>
      </c>
      <c r="C2076" s="107"/>
      <c r="D2076" s="111"/>
      <c r="E2076" s="95"/>
      <c r="F2076" s="132">
        <f>+SUM(F2077:F2108)</f>
        <v>4969012225</v>
      </c>
    </row>
    <row r="2077" spans="1:6" s="4" customFormat="1" ht="12">
      <c r="A2077" s="106">
        <v>540802</v>
      </c>
      <c r="B2077" s="111" t="s">
        <v>180</v>
      </c>
      <c r="C2077" s="110">
        <v>110505000</v>
      </c>
      <c r="D2077" s="111" t="s">
        <v>181</v>
      </c>
      <c r="E2077" s="95"/>
      <c r="F2077" s="131">
        <v>560065712</v>
      </c>
    </row>
    <row r="2078" spans="1:6" s="4" customFormat="1" ht="12">
      <c r="A2078" s="106">
        <v>540802</v>
      </c>
      <c r="B2078" s="111" t="s">
        <v>180</v>
      </c>
      <c r="C2078" s="103">
        <v>110808000</v>
      </c>
      <c r="D2078" s="111" t="s">
        <v>182</v>
      </c>
      <c r="E2078" s="95"/>
      <c r="F2078" s="131">
        <v>124408331</v>
      </c>
    </row>
    <row r="2079" spans="1:6" s="4" customFormat="1" ht="12">
      <c r="A2079" s="106">
        <v>540802</v>
      </c>
      <c r="B2079" s="111" t="s">
        <v>180</v>
      </c>
      <c r="C2079" s="103">
        <v>111313000</v>
      </c>
      <c r="D2079" s="111" t="s">
        <v>183</v>
      </c>
      <c r="E2079" s="95"/>
      <c r="F2079" s="131">
        <v>238971127</v>
      </c>
    </row>
    <row r="2080" spans="1:6" s="4" customFormat="1" ht="12">
      <c r="A2080" s="106">
        <v>540802</v>
      </c>
      <c r="B2080" s="111" t="s">
        <v>180</v>
      </c>
      <c r="C2080" s="103">
        <v>111515000</v>
      </c>
      <c r="D2080" s="111" t="s">
        <v>184</v>
      </c>
      <c r="E2080" s="95"/>
      <c r="F2080" s="131">
        <v>266898667</v>
      </c>
    </row>
    <row r="2081" spans="1:6" s="4" customFormat="1" ht="12">
      <c r="A2081" s="106">
        <v>540802</v>
      </c>
      <c r="B2081" s="111" t="s">
        <v>180</v>
      </c>
      <c r="C2081" s="103">
        <v>111717000</v>
      </c>
      <c r="D2081" s="111" t="s">
        <v>185</v>
      </c>
      <c r="E2081" s="95"/>
      <c r="F2081" s="131">
        <v>134141341</v>
      </c>
    </row>
    <row r="2082" spans="1:6" s="4" customFormat="1" ht="12">
      <c r="A2082" s="106">
        <v>540802</v>
      </c>
      <c r="B2082" s="111" t="s">
        <v>180</v>
      </c>
      <c r="C2082" s="103">
        <v>111818000</v>
      </c>
      <c r="D2082" s="111" t="s">
        <v>186</v>
      </c>
      <c r="E2082" s="95"/>
      <c r="F2082" s="131">
        <v>70927191</v>
      </c>
    </row>
    <row r="2083" spans="1:6" s="4" customFormat="1" ht="12">
      <c r="A2083" s="106">
        <v>540802</v>
      </c>
      <c r="B2083" s="111" t="s">
        <v>180</v>
      </c>
      <c r="C2083" s="103">
        <v>111919000</v>
      </c>
      <c r="D2083" s="111" t="s">
        <v>187</v>
      </c>
      <c r="E2083" s="95"/>
      <c r="F2083" s="131">
        <v>237401438</v>
      </c>
    </row>
    <row r="2084" spans="1:6" s="4" customFormat="1" ht="12">
      <c r="A2084" s="106">
        <v>540802</v>
      </c>
      <c r="B2084" s="111" t="s">
        <v>180</v>
      </c>
      <c r="C2084" s="103">
        <v>112020000</v>
      </c>
      <c r="D2084" s="111" t="s">
        <v>188</v>
      </c>
      <c r="E2084" s="95"/>
      <c r="F2084" s="131">
        <v>157273507</v>
      </c>
    </row>
    <row r="2085" spans="1:6" s="4" customFormat="1" ht="12">
      <c r="A2085" s="106">
        <v>540802</v>
      </c>
      <c r="B2085" s="111" t="s">
        <v>180</v>
      </c>
      <c r="C2085" s="103">
        <v>112323000</v>
      </c>
      <c r="D2085" s="111" t="s">
        <v>189</v>
      </c>
      <c r="E2085" s="95"/>
      <c r="F2085" s="35">
        <v>231042910</v>
      </c>
    </row>
    <row r="2086" spans="1:6" s="4" customFormat="1" ht="12">
      <c r="A2086" s="106">
        <v>540802</v>
      </c>
      <c r="B2086" s="111" t="s">
        <v>180</v>
      </c>
      <c r="C2086" s="103">
        <v>112525000</v>
      </c>
      <c r="D2086" s="111" t="s">
        <v>190</v>
      </c>
      <c r="E2086" s="95"/>
      <c r="F2086" s="35">
        <v>349962981</v>
      </c>
    </row>
    <row r="2087" spans="1:6" s="4" customFormat="1" ht="12">
      <c r="A2087" s="106">
        <v>540802</v>
      </c>
      <c r="B2087" s="111" t="s">
        <v>180</v>
      </c>
      <c r="C2087" s="103">
        <v>112727000</v>
      </c>
      <c r="D2087" s="111" t="s">
        <v>191</v>
      </c>
      <c r="E2087" s="95"/>
      <c r="F2087" s="35">
        <v>150416306</v>
      </c>
    </row>
    <row r="2088" spans="1:6" s="4" customFormat="1" ht="12">
      <c r="A2088" s="106">
        <v>540802</v>
      </c>
      <c r="B2088" s="111" t="s">
        <v>180</v>
      </c>
      <c r="C2088" s="103">
        <v>114141000</v>
      </c>
      <c r="D2088" s="111" t="s">
        <v>192</v>
      </c>
      <c r="E2088" s="95"/>
      <c r="F2088" s="35">
        <v>153896969</v>
      </c>
    </row>
    <row r="2089" spans="1:6" s="4" customFormat="1" ht="12">
      <c r="A2089" s="106">
        <v>540802</v>
      </c>
      <c r="B2089" s="111" t="s">
        <v>180</v>
      </c>
      <c r="C2089" s="103">
        <v>114444000</v>
      </c>
      <c r="D2089" s="111" t="s">
        <v>193</v>
      </c>
      <c r="E2089" s="95"/>
      <c r="F2089" s="35">
        <v>159383446</v>
      </c>
    </row>
    <row r="2090" spans="1:6" s="4" customFormat="1" ht="12">
      <c r="A2090" s="106">
        <v>540802</v>
      </c>
      <c r="B2090" s="111" t="s">
        <v>180</v>
      </c>
      <c r="C2090" s="103">
        <v>114747000</v>
      </c>
      <c r="D2090" s="111" t="s">
        <v>194</v>
      </c>
      <c r="E2090" s="95"/>
      <c r="F2090" s="35">
        <v>188050625</v>
      </c>
    </row>
    <row r="2091" spans="1:6" s="4" customFormat="1" ht="12">
      <c r="A2091" s="106">
        <v>540802</v>
      </c>
      <c r="B2091" s="111" t="s">
        <v>180</v>
      </c>
      <c r="C2091" s="103">
        <v>115050000</v>
      </c>
      <c r="D2091" s="111" t="s">
        <v>195</v>
      </c>
      <c r="E2091" s="95"/>
      <c r="F2091" s="35">
        <v>92512326</v>
      </c>
    </row>
    <row r="2092" spans="1:6" s="4" customFormat="1" ht="12">
      <c r="A2092" s="106">
        <v>540802</v>
      </c>
      <c r="B2092" s="111" t="s">
        <v>180</v>
      </c>
      <c r="C2092" s="103">
        <v>115252000</v>
      </c>
      <c r="D2092" s="111" t="s">
        <v>196</v>
      </c>
      <c r="E2092" s="95"/>
      <c r="F2092" s="35">
        <v>253414260</v>
      </c>
    </row>
    <row r="2093" spans="1:6" s="4" customFormat="1" ht="12">
      <c r="A2093" s="106">
        <v>540802</v>
      </c>
      <c r="B2093" s="111" t="s">
        <v>180</v>
      </c>
      <c r="C2093" s="103">
        <v>115454000</v>
      </c>
      <c r="D2093" s="111" t="s">
        <v>197</v>
      </c>
      <c r="E2093" s="95"/>
      <c r="F2093" s="35">
        <v>183868237</v>
      </c>
    </row>
    <row r="2094" spans="1:6" s="4" customFormat="1" ht="12">
      <c r="A2094" s="106">
        <v>540802</v>
      </c>
      <c r="B2094" s="111" t="s">
        <v>180</v>
      </c>
      <c r="C2094" s="103">
        <v>116363000</v>
      </c>
      <c r="D2094" s="111" t="s">
        <v>198</v>
      </c>
      <c r="E2094" s="95"/>
      <c r="F2094" s="35">
        <v>67640442</v>
      </c>
    </row>
    <row r="2095" spans="1:6" s="4" customFormat="1" ht="12">
      <c r="A2095" s="106">
        <v>540802</v>
      </c>
      <c r="B2095" s="111" t="s">
        <v>180</v>
      </c>
      <c r="C2095" s="103">
        <v>116666000</v>
      </c>
      <c r="D2095" s="111" t="s">
        <v>199</v>
      </c>
      <c r="E2095" s="95"/>
      <c r="F2095" s="35">
        <v>70127117</v>
      </c>
    </row>
    <row r="2096" spans="1:6" s="4" customFormat="1" ht="12">
      <c r="A2096" s="106">
        <v>540802</v>
      </c>
      <c r="B2096" s="111" t="s">
        <v>180</v>
      </c>
      <c r="C2096" s="103">
        <v>116868000</v>
      </c>
      <c r="D2096" s="111" t="s">
        <v>200</v>
      </c>
      <c r="E2096" s="95"/>
      <c r="F2096" s="35">
        <v>250804531</v>
      </c>
    </row>
    <row r="2097" spans="1:6" s="4" customFormat="1" ht="12">
      <c r="A2097" s="106">
        <v>540802</v>
      </c>
      <c r="B2097" s="111" t="s">
        <v>180</v>
      </c>
      <c r="C2097" s="103">
        <v>117070000</v>
      </c>
      <c r="D2097" s="111" t="s">
        <v>201</v>
      </c>
      <c r="E2097" s="95"/>
      <c r="F2097" s="35">
        <v>152412192</v>
      </c>
    </row>
    <row r="2098" spans="1:6" s="4" customFormat="1" ht="12">
      <c r="A2098" s="106">
        <v>540802</v>
      </c>
      <c r="B2098" s="111" t="s">
        <v>180</v>
      </c>
      <c r="C2098" s="103">
        <v>117373000</v>
      </c>
      <c r="D2098" s="111" t="s">
        <v>202</v>
      </c>
      <c r="E2098" s="95"/>
      <c r="F2098" s="35">
        <v>210422180</v>
      </c>
    </row>
    <row r="2099" spans="1:6" s="4" customFormat="1" ht="12">
      <c r="A2099" s="106">
        <v>540802</v>
      </c>
      <c r="B2099" s="111" t="s">
        <v>180</v>
      </c>
      <c r="C2099" s="103">
        <v>117676000</v>
      </c>
      <c r="D2099" s="111" t="s">
        <v>203</v>
      </c>
      <c r="E2099" s="95"/>
      <c r="F2099" s="35">
        <v>253039660</v>
      </c>
    </row>
    <row r="2100" spans="1:6" s="4" customFormat="1" ht="12">
      <c r="A2100" s="106">
        <v>540802</v>
      </c>
      <c r="B2100" s="111" t="s">
        <v>180</v>
      </c>
      <c r="C2100" s="103">
        <v>118181000</v>
      </c>
      <c r="D2100" s="111" t="s">
        <v>204</v>
      </c>
      <c r="E2100" s="95"/>
      <c r="F2100" s="35">
        <v>66735646</v>
      </c>
    </row>
    <row r="2101" spans="1:6" s="4" customFormat="1" ht="12">
      <c r="A2101" s="106">
        <v>540802</v>
      </c>
      <c r="B2101" s="111" t="s">
        <v>180</v>
      </c>
      <c r="C2101" s="103">
        <v>118585000</v>
      </c>
      <c r="D2101" s="111" t="s">
        <v>205</v>
      </c>
      <c r="E2101" s="95"/>
      <c r="F2101" s="35">
        <v>80219003</v>
      </c>
    </row>
    <row r="2102" spans="1:6" s="4" customFormat="1" ht="12">
      <c r="A2102" s="106">
        <v>540802</v>
      </c>
      <c r="B2102" s="111" t="s">
        <v>180</v>
      </c>
      <c r="C2102" s="103">
        <v>118686000</v>
      </c>
      <c r="D2102" s="111" t="s">
        <v>206</v>
      </c>
      <c r="E2102" s="95"/>
      <c r="F2102" s="35">
        <v>101888259</v>
      </c>
    </row>
    <row r="2103" spans="1:6" s="4" customFormat="1" ht="12">
      <c r="A2103" s="106">
        <v>540802</v>
      </c>
      <c r="B2103" s="111" t="s">
        <v>180</v>
      </c>
      <c r="C2103" s="103">
        <v>118888000</v>
      </c>
      <c r="D2103" s="111" t="s">
        <v>207</v>
      </c>
      <c r="E2103" s="95"/>
      <c r="F2103" s="35">
        <v>19991246</v>
      </c>
    </row>
    <row r="2104" spans="1:6" s="4" customFormat="1" ht="12">
      <c r="A2104" s="106">
        <v>540802</v>
      </c>
      <c r="B2104" s="111" t="s">
        <v>180</v>
      </c>
      <c r="C2104" s="103">
        <v>119191000</v>
      </c>
      <c r="D2104" s="111" t="s">
        <v>208</v>
      </c>
      <c r="E2104" s="95"/>
      <c r="F2104" s="35">
        <v>35076750</v>
      </c>
    </row>
    <row r="2105" spans="1:6" s="4" customFormat="1" ht="12">
      <c r="A2105" s="106">
        <v>540802</v>
      </c>
      <c r="B2105" s="111" t="s">
        <v>180</v>
      </c>
      <c r="C2105" s="103">
        <v>119494000</v>
      </c>
      <c r="D2105" s="111" t="s">
        <v>209</v>
      </c>
      <c r="E2105" s="95"/>
      <c r="F2105" s="35">
        <v>24649165</v>
      </c>
    </row>
    <row r="2106" spans="1:6" s="4" customFormat="1" ht="12">
      <c r="A2106" s="106">
        <v>540802</v>
      </c>
      <c r="B2106" s="111" t="s">
        <v>180</v>
      </c>
      <c r="C2106" s="103">
        <v>119595000</v>
      </c>
      <c r="D2106" s="111" t="s">
        <v>210</v>
      </c>
      <c r="E2106" s="95"/>
      <c r="F2106" s="35">
        <v>37749575</v>
      </c>
    </row>
    <row r="2107" spans="1:6" s="4" customFormat="1" ht="12">
      <c r="A2107" s="106">
        <v>540802</v>
      </c>
      <c r="B2107" s="111" t="s">
        <v>180</v>
      </c>
      <c r="C2107" s="103">
        <v>119797000</v>
      </c>
      <c r="D2107" s="111" t="s">
        <v>211</v>
      </c>
      <c r="E2107" s="95"/>
      <c r="F2107" s="35">
        <v>16453166</v>
      </c>
    </row>
    <row r="2108" spans="1:6" s="4" customFormat="1" ht="12">
      <c r="A2108" s="106">
        <v>540802</v>
      </c>
      <c r="B2108" s="111" t="s">
        <v>180</v>
      </c>
      <c r="C2108" s="103">
        <v>119999000</v>
      </c>
      <c r="D2108" s="111" t="s">
        <v>212</v>
      </c>
      <c r="E2108" s="95"/>
      <c r="F2108" s="35">
        <v>29167919</v>
      </c>
    </row>
    <row r="2109" spans="1:6" s="4" customFormat="1" ht="12">
      <c r="A2109" s="96"/>
      <c r="B2109" s="97"/>
      <c r="C2109" s="98"/>
      <c r="D2109" s="97"/>
      <c r="E2109" s="99"/>
      <c r="F2109" s="100"/>
    </row>
    <row r="2110" spans="1:6" s="4" customFormat="1" ht="12">
      <c r="A2110" s="113">
        <v>540806</v>
      </c>
      <c r="B2110" s="127" t="s">
        <v>213</v>
      </c>
      <c r="C2110" s="103"/>
      <c r="D2110" s="111"/>
      <c r="E2110" s="95"/>
      <c r="F2110" s="33">
        <f>+SUM(F2111:F3204)</f>
        <v>2893977743</v>
      </c>
    </row>
    <row r="2111" spans="1:6" s="4" customFormat="1" ht="12">
      <c r="A2111" s="106">
        <v>540806</v>
      </c>
      <c r="B2111" s="111" t="s">
        <v>213</v>
      </c>
      <c r="C2111" s="103" t="s">
        <v>3186</v>
      </c>
      <c r="D2111" s="119" t="s">
        <v>1123</v>
      </c>
      <c r="E2111" s="133"/>
      <c r="F2111" s="35">
        <v>328328472</v>
      </c>
    </row>
    <row r="2112" spans="1:6" s="4" customFormat="1" ht="12">
      <c r="A2112" s="106">
        <v>540806</v>
      </c>
      <c r="B2112" s="111" t="s">
        <v>213</v>
      </c>
      <c r="C2112" s="103" t="s">
        <v>336</v>
      </c>
      <c r="D2112" s="119" t="s">
        <v>1124</v>
      </c>
      <c r="E2112" s="133"/>
      <c r="F2112" s="35">
        <v>56618083</v>
      </c>
    </row>
    <row r="2113" spans="1:6" s="4" customFormat="1" ht="12">
      <c r="A2113" s="106">
        <v>540806</v>
      </c>
      <c r="B2113" s="111" t="s">
        <v>213</v>
      </c>
      <c r="C2113" s="103" t="s">
        <v>2955</v>
      </c>
      <c r="D2113" s="119" t="s">
        <v>1125</v>
      </c>
      <c r="E2113" s="133"/>
      <c r="F2113" s="35">
        <v>16824630</v>
      </c>
    </row>
    <row r="2114" spans="1:6" s="4" customFormat="1" ht="12">
      <c r="A2114" s="106">
        <v>540806</v>
      </c>
      <c r="B2114" s="111" t="s">
        <v>213</v>
      </c>
      <c r="C2114" s="103">
        <v>216005360</v>
      </c>
      <c r="D2114" s="119" t="s">
        <v>1126</v>
      </c>
      <c r="E2114" s="133"/>
      <c r="F2114" s="35">
        <v>33538065</v>
      </c>
    </row>
    <row r="2115" spans="1:6" s="4" customFormat="1" ht="12">
      <c r="A2115" s="106">
        <v>540806</v>
      </c>
      <c r="B2115" s="111" t="s">
        <v>213</v>
      </c>
      <c r="C2115" s="103" t="s">
        <v>3368</v>
      </c>
      <c r="D2115" s="119" t="s">
        <v>1127</v>
      </c>
      <c r="E2115" s="133"/>
      <c r="F2115" s="35">
        <v>35839606</v>
      </c>
    </row>
    <row r="2116" spans="1:6" s="4" customFormat="1" ht="12">
      <c r="A2116" s="106">
        <v>540806</v>
      </c>
      <c r="B2116" s="111" t="s">
        <v>213</v>
      </c>
      <c r="C2116" s="103" t="s">
        <v>3272</v>
      </c>
      <c r="D2116" s="119" t="s">
        <v>1128</v>
      </c>
      <c r="E2116" s="133"/>
      <c r="F2116" s="35">
        <v>43657645</v>
      </c>
    </row>
    <row r="2117" spans="1:6" s="4" customFormat="1" ht="12">
      <c r="A2117" s="106">
        <v>540806</v>
      </c>
      <c r="B2117" s="111" t="s">
        <v>213</v>
      </c>
      <c r="C2117" s="103" t="s">
        <v>3161</v>
      </c>
      <c r="D2117" s="119" t="s">
        <v>1129</v>
      </c>
      <c r="E2117" s="133"/>
      <c r="F2117" s="35">
        <v>28187868</v>
      </c>
    </row>
    <row r="2118" spans="1:6" s="4" customFormat="1" ht="12">
      <c r="A2118" s="106">
        <v>540806</v>
      </c>
      <c r="B2118" s="111" t="s">
        <v>213</v>
      </c>
      <c r="C2118" s="103" t="s">
        <v>3364</v>
      </c>
      <c r="D2118" s="119" t="s">
        <v>1130</v>
      </c>
      <c r="E2118" s="133"/>
      <c r="F2118" s="35">
        <v>37697193</v>
      </c>
    </row>
    <row r="2119" spans="1:6" s="4" customFormat="1" ht="12">
      <c r="A2119" s="106">
        <v>540806</v>
      </c>
      <c r="B2119" s="111" t="s">
        <v>213</v>
      </c>
      <c r="C2119" s="103" t="s">
        <v>524</v>
      </c>
      <c r="D2119" s="119" t="s">
        <v>1131</v>
      </c>
      <c r="E2119" s="133"/>
      <c r="F2119" s="35">
        <v>26603309</v>
      </c>
    </row>
    <row r="2120" spans="1:6" s="4" customFormat="1" ht="12">
      <c r="A2120" s="106">
        <v>540806</v>
      </c>
      <c r="B2120" s="111" t="s">
        <v>213</v>
      </c>
      <c r="C2120" s="103">
        <v>215915759</v>
      </c>
      <c r="D2120" s="119" t="s">
        <v>1132</v>
      </c>
      <c r="E2120" s="133"/>
      <c r="F2120" s="35">
        <v>27095895</v>
      </c>
    </row>
    <row r="2121" spans="1:6" s="4" customFormat="1" ht="12">
      <c r="A2121" s="106">
        <v>540806</v>
      </c>
      <c r="B2121" s="111" t="s">
        <v>213</v>
      </c>
      <c r="C2121" s="103" t="s">
        <v>3170</v>
      </c>
      <c r="D2121" s="119" t="s">
        <v>1133</v>
      </c>
      <c r="E2121" s="133"/>
      <c r="F2121" s="35">
        <v>84315012</v>
      </c>
    </row>
    <row r="2122" spans="1:6" s="4" customFormat="1" ht="12">
      <c r="A2122" s="106">
        <v>540806</v>
      </c>
      <c r="B2122" s="111" t="s">
        <v>213</v>
      </c>
      <c r="C2122" s="103" t="s">
        <v>1134</v>
      </c>
      <c r="D2122" s="119" t="s">
        <v>1135</v>
      </c>
      <c r="E2122" s="133"/>
      <c r="F2122" s="35">
        <v>43598779</v>
      </c>
    </row>
    <row r="2123" spans="1:6" s="4" customFormat="1" ht="12">
      <c r="A2123" s="106">
        <v>540806</v>
      </c>
      <c r="B2123" s="111" t="s">
        <v>213</v>
      </c>
      <c r="C2123" s="103" t="s">
        <v>639</v>
      </c>
      <c r="D2123" s="119" t="s">
        <v>1136</v>
      </c>
      <c r="E2123" s="133"/>
      <c r="F2123" s="35">
        <v>56710614</v>
      </c>
    </row>
    <row r="2124" spans="1:6" s="4" customFormat="1" ht="12">
      <c r="A2124" s="106">
        <v>540806</v>
      </c>
      <c r="B2124" s="111" t="s">
        <v>213</v>
      </c>
      <c r="C2124" s="103" t="s">
        <v>3397</v>
      </c>
      <c r="D2124" s="119" t="s">
        <v>1137</v>
      </c>
      <c r="E2124" s="133"/>
      <c r="F2124" s="35">
        <v>72526779</v>
      </c>
    </row>
    <row r="2125" spans="1:6" s="4" customFormat="1" ht="12">
      <c r="A2125" s="106">
        <v>540806</v>
      </c>
      <c r="B2125" s="111" t="s">
        <v>213</v>
      </c>
      <c r="C2125" s="103">
        <v>210123001</v>
      </c>
      <c r="D2125" s="119" t="s">
        <v>1138</v>
      </c>
      <c r="E2125" s="133"/>
      <c r="F2125" s="35">
        <v>89801558</v>
      </c>
    </row>
    <row r="2126" spans="1:6" s="4" customFormat="1" ht="12">
      <c r="A2126" s="106">
        <v>540806</v>
      </c>
      <c r="B2126" s="111" t="s">
        <v>213</v>
      </c>
      <c r="C2126" s="106" t="s">
        <v>3149</v>
      </c>
      <c r="D2126" s="119" t="s">
        <v>1139</v>
      </c>
      <c r="E2126" s="134"/>
      <c r="F2126" s="35">
        <v>28348787</v>
      </c>
    </row>
    <row r="2127" spans="1:6" s="4" customFormat="1" ht="12">
      <c r="A2127" s="106">
        <v>540806</v>
      </c>
      <c r="B2127" s="111" t="s">
        <v>213</v>
      </c>
      <c r="C2127" s="106" t="s">
        <v>729</v>
      </c>
      <c r="D2127" s="119" t="s">
        <v>1140</v>
      </c>
      <c r="E2127" s="134"/>
      <c r="F2127" s="35">
        <v>24778178</v>
      </c>
    </row>
    <row r="2128" spans="1:6" s="4" customFormat="1" ht="12">
      <c r="A2128" s="106">
        <v>540806</v>
      </c>
      <c r="B2128" s="111" t="s">
        <v>213</v>
      </c>
      <c r="C2128" s="103" t="s">
        <v>2987</v>
      </c>
      <c r="D2128" s="119" t="s">
        <v>1141</v>
      </c>
      <c r="E2128" s="133"/>
      <c r="F2128" s="35">
        <v>20272420</v>
      </c>
    </row>
    <row r="2129" spans="1:6" s="4" customFormat="1" ht="12">
      <c r="A2129" s="106">
        <v>540806</v>
      </c>
      <c r="B2129" s="111" t="s">
        <v>213</v>
      </c>
      <c r="C2129" s="103" t="s">
        <v>3014</v>
      </c>
      <c r="D2129" s="119" t="s">
        <v>1142</v>
      </c>
      <c r="E2129" s="133"/>
      <c r="F2129" s="35">
        <v>16091240</v>
      </c>
    </row>
    <row r="2130" spans="1:6" s="4" customFormat="1" ht="12">
      <c r="A2130" s="106">
        <v>540806</v>
      </c>
      <c r="B2130" s="111" t="s">
        <v>213</v>
      </c>
      <c r="C2130" s="106" t="s">
        <v>3265</v>
      </c>
      <c r="D2130" s="119" t="s">
        <v>1143</v>
      </c>
      <c r="E2130" s="134"/>
      <c r="F2130" s="35">
        <v>58043084</v>
      </c>
    </row>
    <row r="2131" spans="1:6" s="4" customFormat="1" ht="12">
      <c r="A2131" s="106">
        <v>540806</v>
      </c>
      <c r="B2131" s="111" t="s">
        <v>213</v>
      </c>
      <c r="C2131" s="106" t="s">
        <v>3234</v>
      </c>
      <c r="D2131" s="119" t="s">
        <v>1144</v>
      </c>
      <c r="E2131" s="134"/>
      <c r="F2131" s="35">
        <v>79868459</v>
      </c>
    </row>
    <row r="2132" spans="1:6" s="4" customFormat="1" ht="12">
      <c r="A2132" s="106">
        <v>540806</v>
      </c>
      <c r="B2132" s="111" t="s">
        <v>213</v>
      </c>
      <c r="C2132" s="106" t="s">
        <v>1145</v>
      </c>
      <c r="D2132" s="119" t="s">
        <v>1146</v>
      </c>
      <c r="E2132" s="134"/>
      <c r="F2132" s="35">
        <v>31642310</v>
      </c>
    </row>
    <row r="2133" spans="1:6" s="4" customFormat="1" ht="12">
      <c r="A2133" s="106">
        <v>540806</v>
      </c>
      <c r="B2133" s="111" t="s">
        <v>213</v>
      </c>
      <c r="C2133" s="106" t="s">
        <v>1147</v>
      </c>
      <c r="D2133" s="119" t="s">
        <v>1148</v>
      </c>
      <c r="E2133" s="134"/>
      <c r="F2133" s="35">
        <v>28372539</v>
      </c>
    </row>
    <row r="2134" spans="1:6" s="4" customFormat="1" ht="12">
      <c r="A2134" s="106">
        <v>540806</v>
      </c>
      <c r="B2134" s="111" t="s">
        <v>213</v>
      </c>
      <c r="C2134" s="103">
        <v>210150001</v>
      </c>
      <c r="D2134" s="119" t="s">
        <v>1149</v>
      </c>
      <c r="E2134" s="133"/>
      <c r="F2134" s="35">
        <v>80327573</v>
      </c>
    </row>
    <row r="2135" spans="1:6" s="4" customFormat="1" ht="12">
      <c r="A2135" s="106">
        <v>540806</v>
      </c>
      <c r="B2135" s="111" t="s">
        <v>213</v>
      </c>
      <c r="C2135" s="103" t="s">
        <v>603</v>
      </c>
      <c r="D2135" s="119" t="s">
        <v>1150</v>
      </c>
      <c r="E2135" s="133"/>
      <c r="F2135" s="35">
        <v>94302279</v>
      </c>
    </row>
    <row r="2136" spans="1:6" s="4" customFormat="1" ht="12">
      <c r="A2136" s="106">
        <v>540806</v>
      </c>
      <c r="B2136" s="111" t="s">
        <v>213</v>
      </c>
      <c r="C2136" s="103">
        <v>213552835</v>
      </c>
      <c r="D2136" s="119" t="s">
        <v>1151</v>
      </c>
      <c r="E2136" s="133"/>
      <c r="F2136" s="35">
        <v>45900302</v>
      </c>
    </row>
    <row r="2137" spans="1:6" s="4" customFormat="1" ht="12">
      <c r="A2137" s="106">
        <v>540806</v>
      </c>
      <c r="B2137" s="111" t="s">
        <v>213</v>
      </c>
      <c r="C2137" s="103">
        <v>210154001</v>
      </c>
      <c r="D2137" s="119" t="s">
        <v>1152</v>
      </c>
      <c r="E2137" s="133"/>
      <c r="F2137" s="35">
        <v>136292226</v>
      </c>
    </row>
    <row r="2138" spans="1:6" s="4" customFormat="1" ht="12">
      <c r="A2138" s="106">
        <v>540806</v>
      </c>
      <c r="B2138" s="111" t="s">
        <v>213</v>
      </c>
      <c r="C2138" s="103">
        <v>210163001</v>
      </c>
      <c r="D2138" s="119" t="s">
        <v>1153</v>
      </c>
      <c r="E2138" s="133"/>
      <c r="F2138" s="35">
        <v>66945395</v>
      </c>
    </row>
    <row r="2139" spans="1:6" s="4" customFormat="1" ht="12">
      <c r="A2139" s="106">
        <v>540806</v>
      </c>
      <c r="B2139" s="111" t="s">
        <v>213</v>
      </c>
      <c r="C2139" s="103">
        <v>210166001</v>
      </c>
      <c r="D2139" s="119" t="s">
        <v>1154</v>
      </c>
      <c r="E2139" s="133"/>
      <c r="F2139" s="35">
        <v>83069056</v>
      </c>
    </row>
    <row r="2140" spans="1:6" s="4" customFormat="1" ht="12">
      <c r="A2140" s="106">
        <v>540806</v>
      </c>
      <c r="B2140" s="111" t="s">
        <v>213</v>
      </c>
      <c r="C2140" s="103">
        <v>217066170</v>
      </c>
      <c r="D2140" s="119" t="s">
        <v>1155</v>
      </c>
      <c r="E2140" s="133"/>
      <c r="F2140" s="35">
        <v>29299128</v>
      </c>
    </row>
    <row r="2141" spans="1:6" s="4" customFormat="1" ht="12">
      <c r="A2141" s="106">
        <v>540806</v>
      </c>
      <c r="B2141" s="111" t="s">
        <v>213</v>
      </c>
      <c r="C2141" s="106" t="s">
        <v>360</v>
      </c>
      <c r="D2141" s="119" t="s">
        <v>1156</v>
      </c>
      <c r="E2141" s="134"/>
      <c r="F2141" s="35">
        <v>99550882</v>
      </c>
    </row>
    <row r="2142" spans="1:6" s="4" customFormat="1" ht="12">
      <c r="A2142" s="106">
        <v>540806</v>
      </c>
      <c r="B2142" s="111" t="s">
        <v>213</v>
      </c>
      <c r="C2142" s="106" t="s">
        <v>328</v>
      </c>
      <c r="D2142" s="119" t="s">
        <v>1157</v>
      </c>
      <c r="E2142" s="134"/>
      <c r="F2142" s="35">
        <v>40859338</v>
      </c>
    </row>
    <row r="2143" spans="1:6" s="4" customFormat="1" ht="12">
      <c r="A2143" s="106">
        <v>540806</v>
      </c>
      <c r="B2143" s="111" t="s">
        <v>213</v>
      </c>
      <c r="C2143" s="106" t="s">
        <v>2970</v>
      </c>
      <c r="D2143" s="119" t="s">
        <v>1158</v>
      </c>
      <c r="E2143" s="134"/>
      <c r="F2143" s="35">
        <v>36252553</v>
      </c>
    </row>
    <row r="2144" spans="1:6" s="4" customFormat="1" ht="12">
      <c r="A2144" s="106">
        <v>540806</v>
      </c>
      <c r="B2144" s="111" t="s">
        <v>213</v>
      </c>
      <c r="C2144" s="106" t="s">
        <v>3018</v>
      </c>
      <c r="D2144" s="119" t="s">
        <v>1159</v>
      </c>
      <c r="E2144" s="134"/>
      <c r="F2144" s="35">
        <v>23032552</v>
      </c>
    </row>
    <row r="2145" spans="1:6" s="4" customFormat="1" ht="12">
      <c r="A2145" s="106">
        <v>540806</v>
      </c>
      <c r="B2145" s="111" t="s">
        <v>213</v>
      </c>
      <c r="C2145" s="103">
        <v>210170001</v>
      </c>
      <c r="D2145" s="119" t="s">
        <v>1160</v>
      </c>
      <c r="E2145" s="133"/>
      <c r="F2145" s="35">
        <v>58246301</v>
      </c>
    </row>
    <row r="2146" spans="1:6" s="4" customFormat="1" ht="12">
      <c r="A2146" s="106">
        <v>540806</v>
      </c>
      <c r="B2146" s="111" t="s">
        <v>213</v>
      </c>
      <c r="C2146" s="103">
        <v>210173001</v>
      </c>
      <c r="D2146" s="119" t="s">
        <v>1161</v>
      </c>
      <c r="E2146" s="133"/>
      <c r="F2146" s="35">
        <v>88690404</v>
      </c>
    </row>
    <row r="2147" spans="1:6" s="4" customFormat="1" ht="12">
      <c r="A2147" s="106">
        <v>540806</v>
      </c>
      <c r="B2147" s="111" t="s">
        <v>213</v>
      </c>
      <c r="C2147" s="103">
        <v>210176001</v>
      </c>
      <c r="D2147" s="119" t="s">
        <v>1162</v>
      </c>
      <c r="E2147" s="133"/>
      <c r="F2147" s="35">
        <v>238002063</v>
      </c>
    </row>
    <row r="2148" spans="1:6" s="4" customFormat="1" ht="12">
      <c r="A2148" s="106">
        <v>540806</v>
      </c>
      <c r="B2148" s="111" t="s">
        <v>213</v>
      </c>
      <c r="C2148" s="103">
        <v>210976109</v>
      </c>
      <c r="D2148" s="119" t="s">
        <v>1163</v>
      </c>
      <c r="E2148" s="133"/>
      <c r="F2148" s="35">
        <v>83411972</v>
      </c>
    </row>
    <row r="2149" spans="1:6" s="4" customFormat="1" ht="12">
      <c r="A2149" s="106">
        <v>540806</v>
      </c>
      <c r="B2149" s="111" t="s">
        <v>213</v>
      </c>
      <c r="C2149" s="103">
        <v>211176111</v>
      </c>
      <c r="D2149" s="119" t="s">
        <v>1164</v>
      </c>
      <c r="E2149" s="133"/>
      <c r="F2149" s="35">
        <v>20851159</v>
      </c>
    </row>
    <row r="2150" spans="1:6" s="4" customFormat="1" ht="12">
      <c r="A2150" s="106">
        <v>540806</v>
      </c>
      <c r="B2150" s="111" t="s">
        <v>213</v>
      </c>
      <c r="C2150" s="103">
        <v>214776147</v>
      </c>
      <c r="D2150" s="119" t="s">
        <v>1165</v>
      </c>
      <c r="E2150" s="133"/>
      <c r="F2150" s="35">
        <v>22589969</v>
      </c>
    </row>
    <row r="2151" spans="1:6" s="4" customFormat="1" ht="12">
      <c r="A2151" s="106">
        <v>540806</v>
      </c>
      <c r="B2151" s="111" t="s">
        <v>213</v>
      </c>
      <c r="C2151" s="103">
        <v>212076520</v>
      </c>
      <c r="D2151" s="119" t="s">
        <v>1166</v>
      </c>
      <c r="E2151" s="133"/>
      <c r="F2151" s="35">
        <v>43700571</v>
      </c>
    </row>
    <row r="2152" spans="1:6" s="4" customFormat="1" ht="12">
      <c r="A2152" s="106">
        <v>540806</v>
      </c>
      <c r="B2152" s="111" t="s">
        <v>213</v>
      </c>
      <c r="C2152" s="103">
        <v>213476834</v>
      </c>
      <c r="D2152" s="119" t="s">
        <v>1167</v>
      </c>
      <c r="E2152" s="133"/>
      <c r="F2152" s="35">
        <v>29974840</v>
      </c>
    </row>
    <row r="2153" spans="1:6" s="4" customFormat="1" ht="12">
      <c r="A2153" s="106">
        <v>540806</v>
      </c>
      <c r="B2153" s="111" t="s">
        <v>213</v>
      </c>
      <c r="C2153" s="103" t="s">
        <v>1168</v>
      </c>
      <c r="D2153" s="111" t="s">
        <v>1169</v>
      </c>
      <c r="E2153" s="133"/>
      <c r="F2153" s="35">
        <v>218038</v>
      </c>
    </row>
    <row r="2154" spans="1:6" s="4" customFormat="1" ht="12">
      <c r="A2154" s="106">
        <v>540806</v>
      </c>
      <c r="B2154" s="111" t="s">
        <v>213</v>
      </c>
      <c r="C2154" s="103" t="s">
        <v>1170</v>
      </c>
      <c r="D2154" s="111" t="s">
        <v>1171</v>
      </c>
      <c r="E2154" s="133"/>
      <c r="F2154" s="35">
        <v>30630</v>
      </c>
    </row>
    <row r="2155" spans="1:6" s="4" customFormat="1" ht="12">
      <c r="A2155" s="106">
        <v>540806</v>
      </c>
      <c r="B2155" s="111" t="s">
        <v>213</v>
      </c>
      <c r="C2155" s="103" t="s">
        <v>264</v>
      </c>
      <c r="D2155" s="111" t="s">
        <v>1172</v>
      </c>
      <c r="E2155" s="133"/>
      <c r="F2155" s="35">
        <v>52540</v>
      </c>
    </row>
    <row r="2156" spans="1:6" s="4" customFormat="1" ht="12">
      <c r="A2156" s="106">
        <v>540806</v>
      </c>
      <c r="B2156" s="111" t="s">
        <v>213</v>
      </c>
      <c r="C2156" s="103" t="s">
        <v>274</v>
      </c>
      <c r="D2156" s="111" t="s">
        <v>1173</v>
      </c>
      <c r="E2156" s="133"/>
      <c r="F2156" s="35">
        <v>358292</v>
      </c>
    </row>
    <row r="2157" spans="1:6" s="4" customFormat="1" ht="12">
      <c r="A2157" s="106">
        <v>540806</v>
      </c>
      <c r="B2157" s="111" t="s">
        <v>213</v>
      </c>
      <c r="C2157" s="103" t="s">
        <v>276</v>
      </c>
      <c r="D2157" s="111" t="s">
        <v>1174</v>
      </c>
      <c r="E2157" s="133"/>
      <c r="F2157" s="35">
        <v>292735</v>
      </c>
    </row>
    <row r="2158" spans="1:6" s="4" customFormat="1" ht="12">
      <c r="A2158" s="106">
        <v>540806</v>
      </c>
      <c r="B2158" s="111" t="s">
        <v>213</v>
      </c>
      <c r="C2158" s="103" t="s">
        <v>1175</v>
      </c>
      <c r="D2158" s="111" t="s">
        <v>1176</v>
      </c>
      <c r="E2158" s="133"/>
      <c r="F2158" s="35">
        <v>531657</v>
      </c>
    </row>
    <row r="2159" spans="1:6" s="4" customFormat="1" ht="12">
      <c r="A2159" s="106">
        <v>540806</v>
      </c>
      <c r="B2159" s="111" t="s">
        <v>213</v>
      </c>
      <c r="C2159" s="103" t="s">
        <v>1177</v>
      </c>
      <c r="D2159" s="111" t="s">
        <v>1178</v>
      </c>
      <c r="E2159" s="133"/>
      <c r="F2159" s="35">
        <v>77300</v>
      </c>
    </row>
    <row r="2160" spans="1:6" s="4" customFormat="1" ht="12">
      <c r="A2160" s="106">
        <v>540806</v>
      </c>
      <c r="B2160" s="111" t="s">
        <v>213</v>
      </c>
      <c r="C2160" s="103" t="s">
        <v>283</v>
      </c>
      <c r="D2160" s="111" t="s">
        <v>1179</v>
      </c>
      <c r="E2160" s="133"/>
      <c r="F2160" s="35">
        <v>158878</v>
      </c>
    </row>
    <row r="2161" spans="1:6" s="4" customFormat="1" ht="12">
      <c r="A2161" s="106">
        <v>540806</v>
      </c>
      <c r="B2161" s="111" t="s">
        <v>213</v>
      </c>
      <c r="C2161" s="103" t="s">
        <v>287</v>
      </c>
      <c r="D2161" s="111" t="s">
        <v>1180</v>
      </c>
      <c r="E2161" s="133"/>
      <c r="F2161" s="35">
        <v>200697</v>
      </c>
    </row>
    <row r="2162" spans="1:6" s="4" customFormat="1" ht="12">
      <c r="A2162" s="106">
        <v>540806</v>
      </c>
      <c r="B2162" s="111" t="s">
        <v>213</v>
      </c>
      <c r="C2162" s="103" t="s">
        <v>1181</v>
      </c>
      <c r="D2162" s="111" t="s">
        <v>1087</v>
      </c>
      <c r="E2162" s="133"/>
      <c r="F2162" s="35">
        <v>315677</v>
      </c>
    </row>
    <row r="2163" spans="1:6" s="4" customFormat="1" ht="12">
      <c r="A2163" s="106">
        <v>540806</v>
      </c>
      <c r="B2163" s="111" t="s">
        <v>213</v>
      </c>
      <c r="C2163" s="103" t="s">
        <v>1182</v>
      </c>
      <c r="D2163" s="111" t="s">
        <v>1183</v>
      </c>
      <c r="E2163" s="133"/>
      <c r="F2163" s="35">
        <v>99732</v>
      </c>
    </row>
    <row r="2164" spans="1:6" s="4" customFormat="1" ht="12">
      <c r="A2164" s="106">
        <v>540806</v>
      </c>
      <c r="B2164" s="111" t="s">
        <v>213</v>
      </c>
      <c r="C2164" s="103" t="s">
        <v>1184</v>
      </c>
      <c r="D2164" s="111" t="s">
        <v>1185</v>
      </c>
      <c r="E2164" s="133"/>
      <c r="F2164" s="35">
        <v>1220517</v>
      </c>
    </row>
    <row r="2165" spans="1:6" s="4" customFormat="1" ht="12">
      <c r="A2165" s="106">
        <v>540806</v>
      </c>
      <c r="B2165" s="111" t="s">
        <v>213</v>
      </c>
      <c r="C2165" s="103">
        <v>215105051</v>
      </c>
      <c r="D2165" s="111" t="s">
        <v>1186</v>
      </c>
      <c r="E2165" s="133"/>
      <c r="F2165" s="35">
        <v>648858</v>
      </c>
    </row>
    <row r="2166" spans="1:6" s="4" customFormat="1" ht="12">
      <c r="A2166" s="106">
        <v>540806</v>
      </c>
      <c r="B2166" s="111" t="s">
        <v>213</v>
      </c>
      <c r="C2166" s="103" t="s">
        <v>310</v>
      </c>
      <c r="D2166" s="111" t="s">
        <v>1187</v>
      </c>
      <c r="E2166" s="133"/>
      <c r="F2166" s="35">
        <v>155130</v>
      </c>
    </row>
    <row r="2167" spans="1:6" s="4" customFormat="1" ht="12">
      <c r="A2167" s="106">
        <v>540806</v>
      </c>
      <c r="B2167" s="111" t="s">
        <v>213</v>
      </c>
      <c r="C2167" s="103" t="s">
        <v>312</v>
      </c>
      <c r="D2167" s="111" t="s">
        <v>1153</v>
      </c>
      <c r="E2167" s="133"/>
      <c r="F2167" s="35">
        <v>76029</v>
      </c>
    </row>
    <row r="2168" spans="1:6" s="4" customFormat="1" ht="12">
      <c r="A2168" s="106">
        <v>540806</v>
      </c>
      <c r="B2168" s="111" t="s">
        <v>213</v>
      </c>
      <c r="C2168" s="103" t="s">
        <v>1188</v>
      </c>
      <c r="D2168" s="111" t="s">
        <v>1189</v>
      </c>
      <c r="E2168" s="133"/>
      <c r="F2168" s="35">
        <v>525180</v>
      </c>
    </row>
    <row r="2169" spans="1:6" s="4" customFormat="1" ht="12">
      <c r="A2169" s="106">
        <v>540806</v>
      </c>
      <c r="B2169" s="111" t="s">
        <v>213</v>
      </c>
      <c r="C2169" s="103" t="s">
        <v>338</v>
      </c>
      <c r="D2169" s="111" t="s">
        <v>1190</v>
      </c>
      <c r="E2169" s="133"/>
      <c r="F2169" s="35">
        <v>87409</v>
      </c>
    </row>
    <row r="2170" spans="1:6" s="4" customFormat="1" ht="12">
      <c r="A2170" s="106">
        <v>540806</v>
      </c>
      <c r="B2170" s="111" t="s">
        <v>213</v>
      </c>
      <c r="C2170" s="103" t="s">
        <v>1191</v>
      </c>
      <c r="D2170" s="111" t="s">
        <v>1192</v>
      </c>
      <c r="E2170" s="133"/>
      <c r="F2170" s="35">
        <v>119793</v>
      </c>
    </row>
    <row r="2171" spans="1:6" s="4" customFormat="1" ht="12">
      <c r="A2171" s="106">
        <v>540806</v>
      </c>
      <c r="B2171" s="111" t="s">
        <v>213</v>
      </c>
      <c r="C2171" s="103" t="s">
        <v>1193</v>
      </c>
      <c r="D2171" s="111" t="s">
        <v>1194</v>
      </c>
      <c r="E2171" s="133"/>
      <c r="F2171" s="35">
        <v>210585</v>
      </c>
    </row>
    <row r="2172" spans="1:6" s="4" customFormat="1" ht="12">
      <c r="A2172" s="106">
        <v>540806</v>
      </c>
      <c r="B2172" s="111" t="s">
        <v>213</v>
      </c>
      <c r="C2172" s="103" t="s">
        <v>1048</v>
      </c>
      <c r="D2172" s="111" t="s">
        <v>1089</v>
      </c>
      <c r="E2172" s="133"/>
      <c r="F2172" s="35">
        <v>334443</v>
      </c>
    </row>
    <row r="2173" spans="1:6" s="4" customFormat="1" ht="12">
      <c r="A2173" s="106">
        <v>540806</v>
      </c>
      <c r="B2173" s="111" t="s">
        <v>213</v>
      </c>
      <c r="C2173" s="103" t="s">
        <v>1044</v>
      </c>
      <c r="D2173" s="111" t="s">
        <v>1195</v>
      </c>
      <c r="E2173" s="133"/>
      <c r="F2173" s="35">
        <v>126741</v>
      </c>
    </row>
    <row r="2174" spans="1:6" s="4" customFormat="1" ht="12">
      <c r="A2174" s="106">
        <v>540806</v>
      </c>
      <c r="B2174" s="111" t="s">
        <v>213</v>
      </c>
      <c r="C2174" s="103" t="s">
        <v>1196</v>
      </c>
      <c r="D2174" s="111" t="s">
        <v>1197</v>
      </c>
      <c r="E2174" s="133"/>
      <c r="F2174" s="35">
        <v>98465</v>
      </c>
    </row>
    <row r="2175" spans="1:6" s="4" customFormat="1" ht="12">
      <c r="A2175" s="106">
        <v>540806</v>
      </c>
      <c r="B2175" s="111" t="s">
        <v>213</v>
      </c>
      <c r="C2175" s="103" t="s">
        <v>371</v>
      </c>
      <c r="D2175" s="111" t="s">
        <v>1198</v>
      </c>
      <c r="E2175" s="133"/>
      <c r="F2175" s="35">
        <v>458631</v>
      </c>
    </row>
    <row r="2176" spans="1:6" s="4" customFormat="1" ht="12">
      <c r="A2176" s="106">
        <v>540806</v>
      </c>
      <c r="B2176" s="111" t="s">
        <v>213</v>
      </c>
      <c r="C2176" s="103" t="s">
        <v>374</v>
      </c>
      <c r="D2176" s="111" t="s">
        <v>1199</v>
      </c>
      <c r="E2176" s="133"/>
      <c r="F2176" s="35">
        <v>124221</v>
      </c>
    </row>
    <row r="2177" spans="1:6" s="4" customFormat="1" ht="12">
      <c r="A2177" s="106">
        <v>540806</v>
      </c>
      <c r="B2177" s="111" t="s">
        <v>213</v>
      </c>
      <c r="C2177" s="103" t="s">
        <v>382</v>
      </c>
      <c r="D2177" s="111" t="s">
        <v>1091</v>
      </c>
      <c r="E2177" s="133"/>
      <c r="F2177" s="35">
        <v>668824</v>
      </c>
    </row>
    <row r="2178" spans="1:6" s="4" customFormat="1" ht="12">
      <c r="A2178" s="106">
        <v>540806</v>
      </c>
      <c r="B2178" s="111" t="s">
        <v>213</v>
      </c>
      <c r="C2178" s="103" t="s">
        <v>392</v>
      </c>
      <c r="D2178" s="111" t="s">
        <v>1200</v>
      </c>
      <c r="E2178" s="133"/>
      <c r="F2178" s="35">
        <v>124025</v>
      </c>
    </row>
    <row r="2179" spans="1:6" s="4" customFormat="1" ht="12">
      <c r="A2179" s="106">
        <v>540806</v>
      </c>
      <c r="B2179" s="111" t="s">
        <v>213</v>
      </c>
      <c r="C2179" s="103" t="s">
        <v>1201</v>
      </c>
      <c r="D2179" s="111" t="s">
        <v>1202</v>
      </c>
      <c r="E2179" s="133"/>
      <c r="F2179" s="35">
        <v>274116</v>
      </c>
    </row>
    <row r="2180" spans="1:6" s="4" customFormat="1" ht="12">
      <c r="A2180" s="106">
        <v>540806</v>
      </c>
      <c r="B2180" s="111" t="s">
        <v>213</v>
      </c>
      <c r="C2180" s="103" t="s">
        <v>1203</v>
      </c>
      <c r="D2180" s="111" t="s">
        <v>1204</v>
      </c>
      <c r="E2180" s="133"/>
      <c r="F2180" s="35">
        <v>72700</v>
      </c>
    </row>
    <row r="2181" spans="1:6" s="4" customFormat="1" ht="12">
      <c r="A2181" s="106">
        <v>540806</v>
      </c>
      <c r="B2181" s="111" t="s">
        <v>213</v>
      </c>
      <c r="C2181" s="103" t="s">
        <v>407</v>
      </c>
      <c r="D2181" s="111" t="s">
        <v>1205</v>
      </c>
      <c r="E2181" s="133"/>
      <c r="F2181" s="35">
        <v>73970</v>
      </c>
    </row>
    <row r="2182" spans="1:6" s="4" customFormat="1" ht="12">
      <c r="A2182" s="106">
        <v>540806</v>
      </c>
      <c r="B2182" s="111" t="s">
        <v>213</v>
      </c>
      <c r="C2182" s="103" t="s">
        <v>1206</v>
      </c>
      <c r="D2182" s="111" t="s">
        <v>1207</v>
      </c>
      <c r="E2182" s="133"/>
      <c r="F2182" s="35">
        <v>601967</v>
      </c>
    </row>
    <row r="2183" spans="1:6" s="4" customFormat="1" ht="12">
      <c r="A2183" s="106">
        <v>540806</v>
      </c>
      <c r="B2183" s="111" t="s">
        <v>213</v>
      </c>
      <c r="C2183" s="103" t="s">
        <v>1052</v>
      </c>
      <c r="D2183" s="111" t="s">
        <v>1208</v>
      </c>
      <c r="E2183" s="133"/>
      <c r="F2183" s="35">
        <v>530447</v>
      </c>
    </row>
    <row r="2184" spans="1:6" s="4" customFormat="1" ht="12">
      <c r="A2184" s="106">
        <v>540806</v>
      </c>
      <c r="B2184" s="111" t="s">
        <v>213</v>
      </c>
      <c r="C2184" s="103">
        <v>215005150</v>
      </c>
      <c r="D2184" s="111" t="s">
        <v>1209</v>
      </c>
      <c r="E2184" s="133"/>
      <c r="F2184" s="35">
        <v>69794</v>
      </c>
    </row>
    <row r="2185" spans="1:6" s="4" customFormat="1" ht="12">
      <c r="A2185" s="106">
        <v>540806</v>
      </c>
      <c r="B2185" s="111" t="s">
        <v>213</v>
      </c>
      <c r="C2185" s="103" t="s">
        <v>416</v>
      </c>
      <c r="D2185" s="111" t="s">
        <v>1210</v>
      </c>
      <c r="E2185" s="133"/>
      <c r="F2185" s="35">
        <v>1144245</v>
      </c>
    </row>
    <row r="2186" spans="1:6" s="4" customFormat="1" ht="12">
      <c r="A2186" s="106">
        <v>540806</v>
      </c>
      <c r="B2186" s="111" t="s">
        <v>213</v>
      </c>
      <c r="C2186" s="103" t="s">
        <v>1211</v>
      </c>
      <c r="D2186" s="111" t="s">
        <v>1212</v>
      </c>
      <c r="E2186" s="133"/>
      <c r="F2186" s="35">
        <v>751152</v>
      </c>
    </row>
    <row r="2187" spans="1:6" s="4" customFormat="1" ht="12">
      <c r="A2187" s="106">
        <v>540806</v>
      </c>
      <c r="B2187" s="111" t="s">
        <v>213</v>
      </c>
      <c r="C2187" s="103" t="s">
        <v>1213</v>
      </c>
      <c r="D2187" s="111" t="s">
        <v>1214</v>
      </c>
      <c r="E2187" s="133"/>
      <c r="F2187" s="35">
        <v>142736</v>
      </c>
    </row>
    <row r="2188" spans="1:6" s="4" customFormat="1" ht="12">
      <c r="A2188" s="106">
        <v>540806</v>
      </c>
      <c r="B2188" s="111" t="s">
        <v>213</v>
      </c>
      <c r="C2188" s="103" t="s">
        <v>467</v>
      </c>
      <c r="D2188" s="111" t="s">
        <v>1215</v>
      </c>
      <c r="E2188" s="133"/>
      <c r="F2188" s="35">
        <v>200947</v>
      </c>
    </row>
    <row r="2189" spans="1:6" s="4" customFormat="1" ht="12">
      <c r="A2189" s="106">
        <v>540806</v>
      </c>
      <c r="B2189" s="111" t="s">
        <v>213</v>
      </c>
      <c r="C2189" s="103" t="s">
        <v>1216</v>
      </c>
      <c r="D2189" s="111" t="s">
        <v>1217</v>
      </c>
      <c r="E2189" s="133"/>
      <c r="F2189" s="35">
        <v>49818</v>
      </c>
    </row>
    <row r="2190" spans="1:6" s="4" customFormat="1" ht="12">
      <c r="A2190" s="106">
        <v>540806</v>
      </c>
      <c r="B2190" s="111" t="s">
        <v>213</v>
      </c>
      <c r="C2190" s="103" t="s">
        <v>1218</v>
      </c>
      <c r="D2190" s="111" t="s">
        <v>1219</v>
      </c>
      <c r="E2190" s="133"/>
      <c r="F2190" s="35">
        <v>232990</v>
      </c>
    </row>
    <row r="2191" spans="1:6" s="4" customFormat="1" ht="12">
      <c r="A2191" s="106">
        <v>540806</v>
      </c>
      <c r="B2191" s="111" t="s">
        <v>213</v>
      </c>
      <c r="C2191" s="103" t="s">
        <v>483</v>
      </c>
      <c r="D2191" s="111" t="s">
        <v>1220</v>
      </c>
      <c r="E2191" s="133"/>
      <c r="F2191" s="35">
        <v>779356</v>
      </c>
    </row>
    <row r="2192" spans="1:6" s="4" customFormat="1" ht="12">
      <c r="A2192" s="106">
        <v>540806</v>
      </c>
      <c r="B2192" s="111" t="s">
        <v>213</v>
      </c>
      <c r="C2192" s="103" t="s">
        <v>1221</v>
      </c>
      <c r="D2192" s="111" t="s">
        <v>1222</v>
      </c>
      <c r="E2192" s="133"/>
      <c r="F2192" s="35">
        <v>378112</v>
      </c>
    </row>
    <row r="2193" spans="1:6" s="4" customFormat="1" ht="12">
      <c r="A2193" s="106">
        <v>540806</v>
      </c>
      <c r="B2193" s="111" t="s">
        <v>213</v>
      </c>
      <c r="C2193" s="103" t="s">
        <v>521</v>
      </c>
      <c r="D2193" s="111" t="s">
        <v>1223</v>
      </c>
      <c r="E2193" s="133"/>
      <c r="F2193" s="35">
        <v>218764</v>
      </c>
    </row>
    <row r="2194" spans="1:6" s="4" customFormat="1" ht="12">
      <c r="A2194" s="106">
        <v>540806</v>
      </c>
      <c r="B2194" s="111" t="s">
        <v>213</v>
      </c>
      <c r="C2194" s="103">
        <v>214005240</v>
      </c>
      <c r="D2194" s="111" t="s">
        <v>1224</v>
      </c>
      <c r="E2194" s="133"/>
      <c r="F2194" s="35">
        <v>175000</v>
      </c>
    </row>
    <row r="2195" spans="1:6" s="4" customFormat="1" ht="12">
      <c r="A2195" s="106">
        <v>540806</v>
      </c>
      <c r="B2195" s="111" t="s">
        <v>213</v>
      </c>
      <c r="C2195" s="103" t="s">
        <v>1225</v>
      </c>
      <c r="D2195" s="111" t="s">
        <v>1226</v>
      </c>
      <c r="E2195" s="133"/>
      <c r="F2195" s="35">
        <v>684753</v>
      </c>
    </row>
    <row r="2196" spans="1:6" s="4" customFormat="1" ht="12">
      <c r="A2196" s="106">
        <v>540806</v>
      </c>
      <c r="B2196" s="111" t="s">
        <v>213</v>
      </c>
      <c r="C2196" s="103" t="s">
        <v>2953</v>
      </c>
      <c r="D2196" s="111" t="s">
        <v>1227</v>
      </c>
      <c r="E2196" s="133"/>
      <c r="F2196" s="35">
        <v>110411</v>
      </c>
    </row>
    <row r="2197" spans="1:6" s="4" customFormat="1" ht="12">
      <c r="A2197" s="106">
        <v>540806</v>
      </c>
      <c r="B2197" s="111" t="s">
        <v>213</v>
      </c>
      <c r="C2197" s="103" t="s">
        <v>2976</v>
      </c>
      <c r="D2197" s="111" t="s">
        <v>1228</v>
      </c>
      <c r="E2197" s="133"/>
      <c r="F2197" s="35">
        <v>315495</v>
      </c>
    </row>
    <row r="2198" spans="1:6" s="4" customFormat="1" ht="12">
      <c r="A2198" s="106">
        <v>540806</v>
      </c>
      <c r="B2198" s="111" t="s">
        <v>213</v>
      </c>
      <c r="C2198" s="103" t="s">
        <v>2979</v>
      </c>
      <c r="D2198" s="111" t="s">
        <v>1229</v>
      </c>
      <c r="E2198" s="133"/>
      <c r="F2198" s="35">
        <v>312832</v>
      </c>
    </row>
    <row r="2199" spans="1:6" s="4" customFormat="1" ht="12">
      <c r="A2199" s="106">
        <v>540806</v>
      </c>
      <c r="B2199" s="111" t="s">
        <v>213</v>
      </c>
      <c r="C2199" s="103" t="s">
        <v>3012</v>
      </c>
      <c r="D2199" s="111" t="s">
        <v>1230</v>
      </c>
      <c r="E2199" s="133"/>
      <c r="F2199" s="35">
        <v>59625</v>
      </c>
    </row>
    <row r="2200" spans="1:6" s="4" customFormat="1" ht="12">
      <c r="A2200" s="106">
        <v>540806</v>
      </c>
      <c r="B2200" s="111" t="s">
        <v>213</v>
      </c>
      <c r="C2200" s="103" t="s">
        <v>3016</v>
      </c>
      <c r="D2200" s="111" t="s">
        <v>1231</v>
      </c>
      <c r="E2200" s="133"/>
      <c r="F2200" s="35">
        <v>423546</v>
      </c>
    </row>
    <row r="2201" spans="1:6" s="4" customFormat="1" ht="12">
      <c r="A2201" s="106">
        <v>540806</v>
      </c>
      <c r="B2201" s="111" t="s">
        <v>213</v>
      </c>
      <c r="C2201" s="103">
        <v>211005310</v>
      </c>
      <c r="D2201" s="111" t="s">
        <v>1232</v>
      </c>
      <c r="E2201" s="133"/>
      <c r="F2201" s="35">
        <v>141767</v>
      </c>
    </row>
    <row r="2202" spans="1:6" s="4" customFormat="1" ht="12">
      <c r="A2202" s="106">
        <v>540806</v>
      </c>
      <c r="B2202" s="111" t="s">
        <v>213</v>
      </c>
      <c r="C2202" s="103" t="s">
        <v>1233</v>
      </c>
      <c r="D2202" s="111" t="s">
        <v>1234</v>
      </c>
      <c r="E2202" s="133"/>
      <c r="F2202" s="35">
        <v>134806</v>
      </c>
    </row>
    <row r="2203" spans="1:6" s="4" customFormat="1" ht="12">
      <c r="A2203" s="106">
        <v>540806</v>
      </c>
      <c r="B2203" s="111" t="s">
        <v>213</v>
      </c>
      <c r="C2203" s="103" t="s">
        <v>3030</v>
      </c>
      <c r="D2203" s="111" t="s">
        <v>1235</v>
      </c>
      <c r="E2203" s="133"/>
      <c r="F2203" s="35">
        <v>76894</v>
      </c>
    </row>
    <row r="2204" spans="1:6" s="4" customFormat="1" ht="12">
      <c r="A2204" s="106">
        <v>540806</v>
      </c>
      <c r="B2204" s="111" t="s">
        <v>213</v>
      </c>
      <c r="C2204" s="103" t="s">
        <v>3041</v>
      </c>
      <c r="D2204" s="111" t="s">
        <v>1236</v>
      </c>
      <c r="E2204" s="133"/>
      <c r="F2204" s="35">
        <v>400846</v>
      </c>
    </row>
    <row r="2205" spans="1:6" s="4" customFormat="1" ht="12">
      <c r="A2205" s="106">
        <v>540806</v>
      </c>
      <c r="B2205" s="111" t="s">
        <v>213</v>
      </c>
      <c r="C2205" s="103" t="s">
        <v>3044</v>
      </c>
      <c r="D2205" s="111" t="s">
        <v>1237</v>
      </c>
      <c r="E2205" s="133"/>
      <c r="F2205" s="35">
        <v>83232</v>
      </c>
    </row>
    <row r="2206" spans="1:6" s="4" customFormat="1" ht="12">
      <c r="A2206" s="106">
        <v>540806</v>
      </c>
      <c r="B2206" s="111" t="s">
        <v>213</v>
      </c>
      <c r="C2206" s="103" t="s">
        <v>1238</v>
      </c>
      <c r="D2206" s="111" t="s">
        <v>1239</v>
      </c>
      <c r="E2206" s="133"/>
      <c r="F2206" s="35">
        <v>47397</v>
      </c>
    </row>
    <row r="2207" spans="1:6" s="4" customFormat="1" ht="12">
      <c r="A2207" s="106">
        <v>540806</v>
      </c>
      <c r="B2207" s="111" t="s">
        <v>213</v>
      </c>
      <c r="C2207" s="103" t="s">
        <v>1240</v>
      </c>
      <c r="D2207" s="111" t="s">
        <v>1241</v>
      </c>
      <c r="E2207" s="133"/>
      <c r="F2207" s="35">
        <v>73487</v>
      </c>
    </row>
    <row r="2208" spans="1:6" s="4" customFormat="1" ht="12">
      <c r="A2208" s="106">
        <v>540806</v>
      </c>
      <c r="B2208" s="111" t="s">
        <v>213</v>
      </c>
      <c r="C2208" s="103" t="s">
        <v>1242</v>
      </c>
      <c r="D2208" s="111" t="s">
        <v>1243</v>
      </c>
      <c r="E2208" s="133"/>
      <c r="F2208" s="35">
        <v>429030</v>
      </c>
    </row>
    <row r="2209" spans="1:6" s="4" customFormat="1" ht="12">
      <c r="A2209" s="106">
        <v>540806</v>
      </c>
      <c r="B2209" s="111" t="s">
        <v>213</v>
      </c>
      <c r="C2209" s="103" t="s">
        <v>3078</v>
      </c>
      <c r="D2209" s="111" t="s">
        <v>1244</v>
      </c>
      <c r="E2209" s="133"/>
      <c r="F2209" s="35">
        <v>174515</v>
      </c>
    </row>
    <row r="2210" spans="1:6" s="4" customFormat="1" ht="12">
      <c r="A2210" s="106">
        <v>540806</v>
      </c>
      <c r="B2210" s="111" t="s">
        <v>213</v>
      </c>
      <c r="C2210" s="103" t="s">
        <v>1245</v>
      </c>
      <c r="D2210" s="111" t="s">
        <v>1246</v>
      </c>
      <c r="E2210" s="133"/>
      <c r="F2210" s="35">
        <v>201936</v>
      </c>
    </row>
    <row r="2211" spans="1:6" s="4" customFormat="1" ht="12">
      <c r="A2211" s="106">
        <v>540806</v>
      </c>
      <c r="B2211" s="111" t="s">
        <v>213</v>
      </c>
      <c r="C2211" s="103">
        <v>217605376</v>
      </c>
      <c r="D2211" s="111" t="s">
        <v>1247</v>
      </c>
      <c r="E2211" s="133"/>
      <c r="F2211" s="35">
        <v>551814</v>
      </c>
    </row>
    <row r="2212" spans="1:6" s="4" customFormat="1" ht="12">
      <c r="A2212" s="106">
        <v>540806</v>
      </c>
      <c r="B2212" s="111" t="s">
        <v>213</v>
      </c>
      <c r="C2212" s="103" t="s">
        <v>3106</v>
      </c>
      <c r="D2212" s="111" t="s">
        <v>1248</v>
      </c>
      <c r="E2212" s="133"/>
      <c r="F2212" s="35">
        <v>442856</v>
      </c>
    </row>
    <row r="2213" spans="1:6" s="4" customFormat="1" ht="12">
      <c r="A2213" s="106">
        <v>540806</v>
      </c>
      <c r="B2213" s="111" t="s">
        <v>213</v>
      </c>
      <c r="C2213" s="103" t="s">
        <v>3119</v>
      </c>
      <c r="D2213" s="111" t="s">
        <v>1249</v>
      </c>
      <c r="E2213" s="133"/>
      <c r="F2213" s="35">
        <v>116102</v>
      </c>
    </row>
    <row r="2214" spans="1:6" s="4" customFormat="1" ht="12">
      <c r="A2214" s="106">
        <v>540806</v>
      </c>
      <c r="B2214" s="111" t="s">
        <v>213</v>
      </c>
      <c r="C2214" s="103" t="s">
        <v>3130</v>
      </c>
      <c r="D2214" s="111" t="s">
        <v>1250</v>
      </c>
      <c r="E2214" s="133"/>
      <c r="F2214" s="35">
        <v>223244</v>
      </c>
    </row>
    <row r="2215" spans="1:6" s="4" customFormat="1" ht="12">
      <c r="A2215" s="106">
        <v>540806</v>
      </c>
      <c r="B2215" s="111" t="s">
        <v>213</v>
      </c>
      <c r="C2215" s="103" t="s">
        <v>1251</v>
      </c>
      <c r="D2215" s="111" t="s">
        <v>1252</v>
      </c>
      <c r="E2215" s="133"/>
      <c r="F2215" s="35">
        <v>146368</v>
      </c>
    </row>
    <row r="2216" spans="1:6" s="4" customFormat="1" ht="12">
      <c r="A2216" s="106">
        <v>540806</v>
      </c>
      <c r="B2216" s="111" t="s">
        <v>213</v>
      </c>
      <c r="C2216" s="103" t="s">
        <v>3157</v>
      </c>
      <c r="D2216" s="111" t="s">
        <v>1253</v>
      </c>
      <c r="E2216" s="133"/>
      <c r="F2216" s="35">
        <v>128268</v>
      </c>
    </row>
    <row r="2217" spans="1:6" s="4" customFormat="1" ht="12">
      <c r="A2217" s="106">
        <v>540806</v>
      </c>
      <c r="B2217" s="111" t="s">
        <v>213</v>
      </c>
      <c r="C2217" s="103" t="s">
        <v>3178</v>
      </c>
      <c r="D2217" s="111" t="s">
        <v>1254</v>
      </c>
      <c r="E2217" s="133"/>
      <c r="F2217" s="35">
        <v>640252</v>
      </c>
    </row>
    <row r="2218" spans="1:6" s="4" customFormat="1" ht="12">
      <c r="A2218" s="106">
        <v>540806</v>
      </c>
      <c r="B2218" s="111" t="s">
        <v>213</v>
      </c>
      <c r="C2218" s="103" t="s">
        <v>3213</v>
      </c>
      <c r="D2218" s="111" t="s">
        <v>1255</v>
      </c>
      <c r="E2218" s="133"/>
      <c r="F2218" s="35">
        <v>80024</v>
      </c>
    </row>
    <row r="2219" spans="1:6" s="4" customFormat="1" ht="12">
      <c r="A2219" s="106">
        <v>540806</v>
      </c>
      <c r="B2219" s="111" t="s">
        <v>213</v>
      </c>
      <c r="C2219" s="103" t="s">
        <v>1256</v>
      </c>
      <c r="D2219" s="111" t="s">
        <v>1257</v>
      </c>
      <c r="E2219" s="133"/>
      <c r="F2219" s="35">
        <v>111192</v>
      </c>
    </row>
    <row r="2220" spans="1:6" s="4" customFormat="1" ht="12">
      <c r="A2220" s="106">
        <v>540806</v>
      </c>
      <c r="B2220" s="111" t="s">
        <v>213</v>
      </c>
      <c r="C2220" s="103" t="s">
        <v>3224</v>
      </c>
      <c r="D2220" s="111" t="s">
        <v>1258</v>
      </c>
      <c r="E2220" s="133"/>
      <c r="F2220" s="35">
        <v>292128</v>
      </c>
    </row>
    <row r="2221" spans="1:6" s="4" customFormat="1" ht="12">
      <c r="A2221" s="106">
        <v>540806</v>
      </c>
      <c r="B2221" s="111" t="s">
        <v>213</v>
      </c>
      <c r="C2221" s="103" t="s">
        <v>3229</v>
      </c>
      <c r="D2221" s="111" t="s">
        <v>1259</v>
      </c>
      <c r="E2221" s="133"/>
      <c r="F2221" s="35">
        <v>140557</v>
      </c>
    </row>
    <row r="2222" spans="1:6" s="4" customFormat="1" ht="12">
      <c r="A2222" s="106">
        <v>540806</v>
      </c>
      <c r="B2222" s="111" t="s">
        <v>213</v>
      </c>
      <c r="C2222" s="103" t="s">
        <v>1260</v>
      </c>
      <c r="D2222" s="111" t="s">
        <v>1261</v>
      </c>
      <c r="E2222" s="133"/>
      <c r="F2222" s="35">
        <v>941810</v>
      </c>
    </row>
    <row r="2223" spans="1:6" s="4" customFormat="1" ht="12">
      <c r="A2223" s="106">
        <v>540806</v>
      </c>
      <c r="B2223" s="111" t="s">
        <v>213</v>
      </c>
      <c r="C2223" s="103" t="s">
        <v>1262</v>
      </c>
      <c r="D2223" s="111" t="s">
        <v>1263</v>
      </c>
      <c r="E2223" s="133"/>
      <c r="F2223" s="35">
        <v>353722</v>
      </c>
    </row>
    <row r="2224" spans="1:6" s="4" customFormat="1" ht="12">
      <c r="A2224" s="106">
        <v>540806</v>
      </c>
      <c r="B2224" s="111" t="s">
        <v>213</v>
      </c>
      <c r="C2224" s="103" t="s">
        <v>1264</v>
      </c>
      <c r="D2224" s="111" t="s">
        <v>1265</v>
      </c>
      <c r="E2224" s="133"/>
      <c r="F2224" s="35">
        <v>40618</v>
      </c>
    </row>
    <row r="2225" spans="1:6" s="4" customFormat="1" ht="12">
      <c r="A2225" s="106">
        <v>540806</v>
      </c>
      <c r="B2225" s="111" t="s">
        <v>213</v>
      </c>
      <c r="C2225" s="103" t="s">
        <v>1266</v>
      </c>
      <c r="D2225" s="111" t="s">
        <v>1267</v>
      </c>
      <c r="E2225" s="133"/>
      <c r="F2225" s="35">
        <v>230144</v>
      </c>
    </row>
    <row r="2226" spans="1:6" s="4" customFormat="1" ht="12">
      <c r="A2226" s="106">
        <v>540806</v>
      </c>
      <c r="B2226" s="111" t="s">
        <v>213</v>
      </c>
      <c r="C2226" s="103" t="s">
        <v>1268</v>
      </c>
      <c r="D2226" s="111" t="s">
        <v>1269</v>
      </c>
      <c r="E2226" s="133"/>
      <c r="F2226" s="35">
        <v>139006</v>
      </c>
    </row>
    <row r="2227" spans="1:6" s="4" customFormat="1" ht="12">
      <c r="A2227" s="106">
        <v>540806</v>
      </c>
      <c r="B2227" s="111" t="s">
        <v>213</v>
      </c>
      <c r="C2227" s="103" t="s">
        <v>1270</v>
      </c>
      <c r="D2227" s="111" t="s">
        <v>1271</v>
      </c>
      <c r="E2227" s="133"/>
      <c r="F2227" s="35">
        <v>107990</v>
      </c>
    </row>
    <row r="2228" spans="1:6" s="4" customFormat="1" ht="12">
      <c r="A2228" s="106">
        <v>540806</v>
      </c>
      <c r="B2228" s="111" t="s">
        <v>213</v>
      </c>
      <c r="C2228" s="103" t="s">
        <v>649</v>
      </c>
      <c r="D2228" s="111" t="s">
        <v>1272</v>
      </c>
      <c r="E2228" s="133"/>
      <c r="F2228" s="35">
        <v>509139</v>
      </c>
    </row>
    <row r="2229" spans="1:6" s="4" customFormat="1" ht="12">
      <c r="A2229" s="106">
        <v>540806</v>
      </c>
      <c r="B2229" s="111" t="s">
        <v>213</v>
      </c>
      <c r="C2229" s="103">
        <v>218505585</v>
      </c>
      <c r="D2229" s="111" t="s">
        <v>1273</v>
      </c>
      <c r="E2229" s="133"/>
      <c r="F2229" s="35">
        <v>222094</v>
      </c>
    </row>
    <row r="2230" spans="1:6" s="4" customFormat="1" ht="12">
      <c r="A2230" s="106">
        <v>540806</v>
      </c>
      <c r="B2230" s="111" t="s">
        <v>213</v>
      </c>
      <c r="C2230" s="103" t="s">
        <v>1274</v>
      </c>
      <c r="D2230" s="111" t="s">
        <v>1275</v>
      </c>
      <c r="E2230" s="133"/>
      <c r="F2230" s="35">
        <v>166828</v>
      </c>
    </row>
    <row r="2231" spans="1:6" s="4" customFormat="1" ht="12">
      <c r="A2231" s="106">
        <v>540806</v>
      </c>
      <c r="B2231" s="111" t="s">
        <v>213</v>
      </c>
      <c r="C2231" s="103" t="s">
        <v>689</v>
      </c>
      <c r="D2231" s="111" t="s">
        <v>1276</v>
      </c>
      <c r="E2231" s="133"/>
      <c r="F2231" s="35">
        <v>296549</v>
      </c>
    </row>
    <row r="2232" spans="1:6" s="4" customFormat="1" ht="12">
      <c r="A2232" s="106">
        <v>540806</v>
      </c>
      <c r="B2232" s="111" t="s">
        <v>213</v>
      </c>
      <c r="C2232" s="103" t="s">
        <v>695</v>
      </c>
      <c r="D2232" s="111" t="s">
        <v>1277</v>
      </c>
      <c r="E2232" s="133"/>
      <c r="F2232" s="35">
        <v>172276</v>
      </c>
    </row>
    <row r="2233" spans="1:6" s="4" customFormat="1" ht="12">
      <c r="A2233" s="106">
        <v>540806</v>
      </c>
      <c r="B2233" s="111" t="s">
        <v>213</v>
      </c>
      <c r="C2233" s="103" t="s">
        <v>702</v>
      </c>
      <c r="D2233" s="111" t="s">
        <v>1278</v>
      </c>
      <c r="E2233" s="133"/>
      <c r="F2233" s="35">
        <v>1221727</v>
      </c>
    </row>
    <row r="2234" spans="1:6" s="4" customFormat="1" ht="12">
      <c r="A2234" s="106">
        <v>540806</v>
      </c>
      <c r="B2234" s="111" t="s">
        <v>213</v>
      </c>
      <c r="C2234" s="103" t="s">
        <v>719</v>
      </c>
      <c r="D2234" s="111" t="s">
        <v>1279</v>
      </c>
      <c r="E2234" s="133"/>
      <c r="F2234" s="35">
        <v>117867</v>
      </c>
    </row>
    <row r="2235" spans="1:6" s="4" customFormat="1" ht="12">
      <c r="A2235" s="106">
        <v>540806</v>
      </c>
      <c r="B2235" s="111" t="s">
        <v>213</v>
      </c>
      <c r="C2235" s="103" t="s">
        <v>722</v>
      </c>
      <c r="D2235" s="111" t="s">
        <v>1280</v>
      </c>
      <c r="E2235" s="133"/>
      <c r="F2235" s="35">
        <v>446124</v>
      </c>
    </row>
    <row r="2236" spans="1:6" s="4" customFormat="1" ht="12">
      <c r="A2236" s="106">
        <v>540806</v>
      </c>
      <c r="B2236" s="111" t="s">
        <v>213</v>
      </c>
      <c r="C2236" s="103" t="s">
        <v>737</v>
      </c>
      <c r="D2236" s="111" t="s">
        <v>1281</v>
      </c>
      <c r="E2236" s="133"/>
      <c r="F2236" s="35">
        <v>202602</v>
      </c>
    </row>
    <row r="2237" spans="1:6" s="4" customFormat="1" ht="12">
      <c r="A2237" s="106">
        <v>540806</v>
      </c>
      <c r="B2237" s="111" t="s">
        <v>213</v>
      </c>
      <c r="C2237" s="103">
        <v>118888000</v>
      </c>
      <c r="D2237" s="111" t="s">
        <v>1113</v>
      </c>
      <c r="E2237" s="133"/>
      <c r="F2237" s="35">
        <v>93955</v>
      </c>
    </row>
    <row r="2238" spans="1:6" s="4" customFormat="1" ht="12">
      <c r="A2238" s="106">
        <v>540806</v>
      </c>
      <c r="B2238" s="111" t="s">
        <v>213</v>
      </c>
      <c r="C2238" s="103" t="s">
        <v>756</v>
      </c>
      <c r="D2238" s="111" t="s">
        <v>1282</v>
      </c>
      <c r="E2238" s="133"/>
      <c r="F2238" s="35">
        <v>189932</v>
      </c>
    </row>
    <row r="2239" spans="1:6" s="4" customFormat="1" ht="12">
      <c r="A2239" s="106">
        <v>540806</v>
      </c>
      <c r="B2239" s="111" t="s">
        <v>213</v>
      </c>
      <c r="C2239" s="103" t="s">
        <v>1283</v>
      </c>
      <c r="D2239" s="111" t="s">
        <v>1284</v>
      </c>
      <c r="E2239" s="133"/>
      <c r="F2239" s="35">
        <v>97765</v>
      </c>
    </row>
    <row r="2240" spans="1:6" s="4" customFormat="1" ht="12">
      <c r="A2240" s="106">
        <v>540806</v>
      </c>
      <c r="B2240" s="111" t="s">
        <v>213</v>
      </c>
      <c r="C2240" s="103" t="s">
        <v>1285</v>
      </c>
      <c r="D2240" s="111" t="s">
        <v>1286</v>
      </c>
      <c r="E2240" s="133"/>
      <c r="F2240" s="35">
        <v>165878</v>
      </c>
    </row>
    <row r="2241" spans="1:6" s="4" customFormat="1" ht="12">
      <c r="A2241" s="106">
        <v>540806</v>
      </c>
      <c r="B2241" s="111" t="s">
        <v>213</v>
      </c>
      <c r="C2241" s="103" t="s">
        <v>1287</v>
      </c>
      <c r="D2241" s="111" t="s">
        <v>1288</v>
      </c>
      <c r="E2241" s="133"/>
      <c r="F2241" s="35">
        <v>55495</v>
      </c>
    </row>
    <row r="2242" spans="1:6" s="4" customFormat="1" ht="12">
      <c r="A2242" s="106">
        <v>540806</v>
      </c>
      <c r="B2242" s="111" t="s">
        <v>213</v>
      </c>
      <c r="C2242" s="103" t="s">
        <v>1289</v>
      </c>
      <c r="D2242" s="111" t="s">
        <v>1290</v>
      </c>
      <c r="E2242" s="133"/>
      <c r="F2242" s="35">
        <v>483634</v>
      </c>
    </row>
    <row r="2243" spans="1:6" s="4" customFormat="1" ht="12">
      <c r="A2243" s="106">
        <v>540806</v>
      </c>
      <c r="B2243" s="111" t="s">
        <v>213</v>
      </c>
      <c r="C2243" s="103" t="s">
        <v>786</v>
      </c>
      <c r="D2243" s="111" t="s">
        <v>1291</v>
      </c>
      <c r="E2243" s="133"/>
      <c r="F2243" s="35">
        <v>187729</v>
      </c>
    </row>
    <row r="2244" spans="1:6" s="4" customFormat="1" ht="12">
      <c r="A2244" s="106">
        <v>540806</v>
      </c>
      <c r="B2244" s="111" t="s">
        <v>213</v>
      </c>
      <c r="C2244" s="103" t="s">
        <v>796</v>
      </c>
      <c r="D2244" s="111" t="s">
        <v>1292</v>
      </c>
      <c r="E2244" s="133"/>
      <c r="F2244" s="35">
        <v>303848</v>
      </c>
    </row>
    <row r="2245" spans="1:6" s="4" customFormat="1" ht="12">
      <c r="A2245" s="106">
        <v>540806</v>
      </c>
      <c r="B2245" s="111" t="s">
        <v>213</v>
      </c>
      <c r="C2245" s="103" t="s">
        <v>798</v>
      </c>
      <c r="D2245" s="111" t="s">
        <v>1293</v>
      </c>
      <c r="E2245" s="133"/>
      <c r="F2245" s="35">
        <v>459576</v>
      </c>
    </row>
    <row r="2246" spans="1:6" s="4" customFormat="1" ht="12">
      <c r="A2246" s="106">
        <v>540806</v>
      </c>
      <c r="B2246" s="111" t="s">
        <v>213</v>
      </c>
      <c r="C2246" s="103" t="s">
        <v>802</v>
      </c>
      <c r="D2246" s="111" t="s">
        <v>1294</v>
      </c>
      <c r="E2246" s="133"/>
      <c r="F2246" s="35">
        <v>203568</v>
      </c>
    </row>
    <row r="2247" spans="1:6" s="4" customFormat="1" ht="12">
      <c r="A2247" s="106">
        <v>540806</v>
      </c>
      <c r="B2247" s="111" t="s">
        <v>213</v>
      </c>
      <c r="C2247" s="103" t="s">
        <v>804</v>
      </c>
      <c r="D2247" s="111" t="s">
        <v>1295</v>
      </c>
      <c r="E2247" s="133"/>
      <c r="F2247" s="35">
        <v>267116</v>
      </c>
    </row>
    <row r="2248" spans="1:6" s="4" customFormat="1" ht="12">
      <c r="A2248" s="106">
        <v>540806</v>
      </c>
      <c r="B2248" s="111" t="s">
        <v>213</v>
      </c>
      <c r="C2248" s="103" t="s">
        <v>806</v>
      </c>
      <c r="D2248" s="111" t="s">
        <v>1296</v>
      </c>
      <c r="E2248" s="133"/>
      <c r="F2248" s="35">
        <v>252655</v>
      </c>
    </row>
    <row r="2249" spans="1:6" s="4" customFormat="1" ht="12">
      <c r="A2249" s="106">
        <v>540806</v>
      </c>
      <c r="B2249" s="111" t="s">
        <v>213</v>
      </c>
      <c r="C2249" s="103" t="s">
        <v>1297</v>
      </c>
      <c r="D2249" s="111" t="s">
        <v>1298</v>
      </c>
      <c r="E2249" s="133"/>
      <c r="F2249" s="35">
        <v>316697</v>
      </c>
    </row>
    <row r="2250" spans="1:6" s="4" customFormat="1" ht="12">
      <c r="A2250" s="106">
        <v>540806</v>
      </c>
      <c r="B2250" s="111" t="s">
        <v>213</v>
      </c>
      <c r="C2250" s="103" t="s">
        <v>820</v>
      </c>
      <c r="D2250" s="111" t="s">
        <v>1299</v>
      </c>
      <c r="E2250" s="133"/>
      <c r="F2250" s="35">
        <v>427082</v>
      </c>
    </row>
    <row r="2251" spans="1:6" s="4" customFormat="1" ht="12">
      <c r="A2251" s="106">
        <v>540806</v>
      </c>
      <c r="B2251" s="111" t="s">
        <v>213</v>
      </c>
      <c r="C2251" s="103" t="s">
        <v>3237</v>
      </c>
      <c r="D2251" s="111" t="s">
        <v>1300</v>
      </c>
      <c r="E2251" s="133"/>
      <c r="F2251" s="35">
        <v>199060</v>
      </c>
    </row>
    <row r="2252" spans="1:6" s="4" customFormat="1" ht="12">
      <c r="A2252" s="106">
        <v>540806</v>
      </c>
      <c r="B2252" s="111" t="s">
        <v>213</v>
      </c>
      <c r="C2252" s="103" t="s">
        <v>2943</v>
      </c>
      <c r="D2252" s="111" t="s">
        <v>1301</v>
      </c>
      <c r="E2252" s="133"/>
      <c r="F2252" s="35">
        <v>353653</v>
      </c>
    </row>
    <row r="2253" spans="1:6" s="4" customFormat="1" ht="12">
      <c r="A2253" s="106">
        <v>540806</v>
      </c>
      <c r="B2253" s="111" t="s">
        <v>213</v>
      </c>
      <c r="C2253" s="103" t="s">
        <v>1302</v>
      </c>
      <c r="D2253" s="111" t="s">
        <v>1303</v>
      </c>
      <c r="E2253" s="133"/>
      <c r="F2253" s="35">
        <v>395901</v>
      </c>
    </row>
    <row r="2254" spans="1:6" s="4" customFormat="1" ht="12">
      <c r="A2254" s="106">
        <v>540806</v>
      </c>
      <c r="B2254" s="111" t="s">
        <v>213</v>
      </c>
      <c r="C2254" s="103" t="s">
        <v>3276</v>
      </c>
      <c r="D2254" s="111" t="s">
        <v>1304</v>
      </c>
      <c r="E2254" s="133"/>
      <c r="F2254" s="35">
        <v>501178</v>
      </c>
    </row>
    <row r="2255" spans="1:6" s="4" customFormat="1" ht="12">
      <c r="A2255" s="106">
        <v>540806</v>
      </c>
      <c r="B2255" s="111" t="s">
        <v>213</v>
      </c>
      <c r="C2255" s="103" t="s">
        <v>1305</v>
      </c>
      <c r="D2255" s="111" t="s">
        <v>1306</v>
      </c>
      <c r="E2255" s="133"/>
      <c r="F2255" s="35">
        <v>240554</v>
      </c>
    </row>
    <row r="2256" spans="1:6" s="4" customFormat="1" ht="12">
      <c r="A2256" s="106">
        <v>540806</v>
      </c>
      <c r="B2256" s="111" t="s">
        <v>213</v>
      </c>
      <c r="C2256" s="103" t="s">
        <v>1307</v>
      </c>
      <c r="D2256" s="111" t="s">
        <v>1308</v>
      </c>
      <c r="E2256" s="133"/>
      <c r="F2256" s="35">
        <v>223809</v>
      </c>
    </row>
    <row r="2257" spans="1:6" s="4" customFormat="1" ht="12">
      <c r="A2257" s="106">
        <v>540806</v>
      </c>
      <c r="B2257" s="111" t="s">
        <v>213</v>
      </c>
      <c r="C2257" s="103">
        <v>219005790</v>
      </c>
      <c r="D2257" s="111" t="s">
        <v>1309</v>
      </c>
      <c r="E2257" s="133"/>
      <c r="F2257" s="35">
        <v>409728</v>
      </c>
    </row>
    <row r="2258" spans="1:6" s="4" customFormat="1" ht="12">
      <c r="A2258" s="106">
        <v>540806</v>
      </c>
      <c r="B2258" s="111" t="s">
        <v>213</v>
      </c>
      <c r="C2258" s="103" t="s">
        <v>3316</v>
      </c>
      <c r="D2258" s="111" t="s">
        <v>1310</v>
      </c>
      <c r="E2258" s="133"/>
      <c r="F2258" s="35">
        <v>116017</v>
      </c>
    </row>
    <row r="2259" spans="1:6" s="4" customFormat="1" ht="12">
      <c r="A2259" s="106">
        <v>540806</v>
      </c>
      <c r="B2259" s="111" t="s">
        <v>213</v>
      </c>
      <c r="C2259" s="103" t="s">
        <v>3345</v>
      </c>
      <c r="D2259" s="111" t="s">
        <v>1311</v>
      </c>
      <c r="E2259" s="133"/>
      <c r="F2259" s="35">
        <v>129545</v>
      </c>
    </row>
    <row r="2260" spans="1:6" s="4" customFormat="1" ht="12">
      <c r="A2260" s="106">
        <v>540806</v>
      </c>
      <c r="B2260" s="111" t="s">
        <v>213</v>
      </c>
      <c r="C2260" s="103" t="s">
        <v>3353</v>
      </c>
      <c r="D2260" s="111" t="s">
        <v>1312</v>
      </c>
      <c r="E2260" s="133"/>
      <c r="F2260" s="35">
        <v>98394</v>
      </c>
    </row>
    <row r="2261" spans="1:6" s="4" customFormat="1" ht="12">
      <c r="A2261" s="106">
        <v>540806</v>
      </c>
      <c r="B2261" s="111" t="s">
        <v>213</v>
      </c>
      <c r="C2261" s="103" t="s">
        <v>3381</v>
      </c>
      <c r="D2261" s="111" t="s">
        <v>1313</v>
      </c>
      <c r="E2261" s="133"/>
      <c r="F2261" s="35">
        <v>120541</v>
      </c>
    </row>
    <row r="2262" spans="1:6" s="4" customFormat="1" ht="12">
      <c r="A2262" s="106">
        <v>540806</v>
      </c>
      <c r="B2262" s="111" t="s">
        <v>213</v>
      </c>
      <c r="C2262" s="103" t="s">
        <v>3385</v>
      </c>
      <c r="D2262" s="111" t="s">
        <v>1314</v>
      </c>
      <c r="E2262" s="133"/>
      <c r="F2262" s="35">
        <v>421309</v>
      </c>
    </row>
    <row r="2263" spans="1:6" s="4" customFormat="1" ht="12">
      <c r="A2263" s="106">
        <v>540806</v>
      </c>
      <c r="B2263" s="111" t="s">
        <v>213</v>
      </c>
      <c r="C2263" s="103" t="s">
        <v>3391</v>
      </c>
      <c r="D2263" s="111" t="s">
        <v>1315</v>
      </c>
      <c r="E2263" s="133"/>
      <c r="F2263" s="35">
        <v>239101</v>
      </c>
    </row>
    <row r="2264" spans="1:6" s="4" customFormat="1" ht="12">
      <c r="A2264" s="106">
        <v>540806</v>
      </c>
      <c r="B2264" s="111" t="s">
        <v>213</v>
      </c>
      <c r="C2264" s="103" t="s">
        <v>3399</v>
      </c>
      <c r="D2264" s="111" t="s">
        <v>1316</v>
      </c>
      <c r="E2264" s="133"/>
      <c r="F2264" s="35">
        <v>95781</v>
      </c>
    </row>
    <row r="2265" spans="1:6" s="4" customFormat="1" ht="12">
      <c r="A2265" s="106">
        <v>540806</v>
      </c>
      <c r="B2265" s="111" t="s">
        <v>213</v>
      </c>
      <c r="C2265" s="103" t="s">
        <v>1317</v>
      </c>
      <c r="D2265" s="111" t="s">
        <v>1318</v>
      </c>
      <c r="E2265" s="133"/>
      <c r="F2265" s="35">
        <v>134348</v>
      </c>
    </row>
    <row r="2266" spans="1:6" s="4" customFormat="1" ht="12">
      <c r="A2266" s="106">
        <v>540806</v>
      </c>
      <c r="B2266" s="111" t="s">
        <v>213</v>
      </c>
      <c r="C2266" s="103" t="s">
        <v>3404</v>
      </c>
      <c r="D2266" s="111" t="s">
        <v>1319</v>
      </c>
      <c r="E2266" s="133"/>
      <c r="F2266" s="35">
        <v>179091</v>
      </c>
    </row>
    <row r="2267" spans="1:6" s="4" customFormat="1" ht="12">
      <c r="A2267" s="106">
        <v>540806</v>
      </c>
      <c r="B2267" s="111" t="s">
        <v>213</v>
      </c>
      <c r="C2267" s="103" t="s">
        <v>3415</v>
      </c>
      <c r="D2267" s="111" t="s">
        <v>1320</v>
      </c>
      <c r="E2267" s="133"/>
      <c r="F2267" s="35">
        <v>290976</v>
      </c>
    </row>
    <row r="2268" spans="1:6" s="4" customFormat="1" ht="12">
      <c r="A2268" s="106">
        <v>540806</v>
      </c>
      <c r="B2268" s="111" t="s">
        <v>213</v>
      </c>
      <c r="C2268" s="103" t="s">
        <v>1030</v>
      </c>
      <c r="D2268" s="111" t="s">
        <v>1321</v>
      </c>
      <c r="E2268" s="133"/>
      <c r="F2268" s="35">
        <v>116374</v>
      </c>
    </row>
    <row r="2269" spans="1:6" s="4" customFormat="1" ht="12">
      <c r="A2269" s="106">
        <v>540806</v>
      </c>
      <c r="B2269" s="111" t="s">
        <v>213</v>
      </c>
      <c r="C2269" s="103" t="s">
        <v>1322</v>
      </c>
      <c r="D2269" s="111" t="s">
        <v>1323</v>
      </c>
      <c r="E2269" s="133"/>
      <c r="F2269" s="35">
        <v>515410</v>
      </c>
    </row>
    <row r="2270" spans="1:6" s="4" customFormat="1" ht="12">
      <c r="A2270" s="106">
        <v>540806</v>
      </c>
      <c r="B2270" s="111" t="s">
        <v>213</v>
      </c>
      <c r="C2270" s="103" t="s">
        <v>1032</v>
      </c>
      <c r="D2270" s="111" t="s">
        <v>1324</v>
      </c>
      <c r="E2270" s="133"/>
      <c r="F2270" s="35">
        <v>294434</v>
      </c>
    </row>
    <row r="2271" spans="1:6" s="4" customFormat="1" ht="12">
      <c r="A2271" s="106">
        <v>540806</v>
      </c>
      <c r="B2271" s="111" t="s">
        <v>213</v>
      </c>
      <c r="C2271" s="103" t="s">
        <v>1325</v>
      </c>
      <c r="D2271" s="111" t="s">
        <v>1326</v>
      </c>
      <c r="E2271" s="133"/>
      <c r="F2271" s="35">
        <v>239843</v>
      </c>
    </row>
    <row r="2272" spans="1:6" s="4" customFormat="1" ht="12">
      <c r="A2272" s="106">
        <v>540806</v>
      </c>
      <c r="B2272" s="111" t="s">
        <v>213</v>
      </c>
      <c r="C2272" s="103" t="s">
        <v>1327</v>
      </c>
      <c r="D2272" s="111" t="s">
        <v>1328</v>
      </c>
      <c r="E2272" s="133"/>
      <c r="F2272" s="35">
        <v>437761</v>
      </c>
    </row>
    <row r="2273" spans="1:6" s="4" customFormat="1" ht="12">
      <c r="A2273" s="106">
        <v>540806</v>
      </c>
      <c r="B2273" s="111" t="s">
        <v>213</v>
      </c>
      <c r="C2273" s="103" t="s">
        <v>1329</v>
      </c>
      <c r="D2273" s="111" t="s">
        <v>1330</v>
      </c>
      <c r="E2273" s="133"/>
      <c r="F2273" s="35">
        <v>765298</v>
      </c>
    </row>
    <row r="2274" spans="1:6" s="4" customFormat="1" ht="12">
      <c r="A2274" s="106">
        <v>540806</v>
      </c>
      <c r="B2274" s="111" t="s">
        <v>213</v>
      </c>
      <c r="C2274" s="103" t="s">
        <v>394</v>
      </c>
      <c r="D2274" s="111" t="s">
        <v>1331</v>
      </c>
      <c r="E2274" s="133"/>
      <c r="F2274" s="35">
        <v>401472</v>
      </c>
    </row>
    <row r="2275" spans="1:6" s="4" customFormat="1" ht="12">
      <c r="A2275" s="106">
        <v>540806</v>
      </c>
      <c r="B2275" s="111" t="s">
        <v>213</v>
      </c>
      <c r="C2275" s="103" t="s">
        <v>1332</v>
      </c>
      <c r="D2275" s="111" t="s">
        <v>1333</v>
      </c>
      <c r="E2275" s="133"/>
      <c r="F2275" s="35">
        <v>237646</v>
      </c>
    </row>
    <row r="2276" spans="1:6" s="4" customFormat="1" ht="12">
      <c r="A2276" s="106">
        <v>540806</v>
      </c>
      <c r="B2276" s="111" t="s">
        <v>213</v>
      </c>
      <c r="C2276" s="103" t="s">
        <v>1334</v>
      </c>
      <c r="D2276" s="111" t="s">
        <v>1335</v>
      </c>
      <c r="E2276" s="133"/>
      <c r="F2276" s="35">
        <v>428615</v>
      </c>
    </row>
    <row r="2277" spans="1:6" s="4" customFormat="1" ht="12">
      <c r="A2277" s="106">
        <v>540806</v>
      </c>
      <c r="B2277" s="111" t="s">
        <v>213</v>
      </c>
      <c r="C2277" s="103" t="s">
        <v>3090</v>
      </c>
      <c r="D2277" s="111" t="s">
        <v>1336</v>
      </c>
      <c r="E2277" s="133"/>
      <c r="F2277" s="35">
        <v>238750</v>
      </c>
    </row>
    <row r="2278" spans="1:6" s="4" customFormat="1" ht="12">
      <c r="A2278" s="106">
        <v>540806</v>
      </c>
      <c r="B2278" s="111" t="s">
        <v>213</v>
      </c>
      <c r="C2278" s="103" t="s">
        <v>1337</v>
      </c>
      <c r="D2278" s="111" t="s">
        <v>1338</v>
      </c>
      <c r="E2278" s="133"/>
      <c r="F2278" s="35">
        <v>393449</v>
      </c>
    </row>
    <row r="2279" spans="1:6" s="4" customFormat="1" ht="12">
      <c r="A2279" s="106">
        <v>540806</v>
      </c>
      <c r="B2279" s="111" t="s">
        <v>213</v>
      </c>
      <c r="C2279" s="103" t="s">
        <v>1339</v>
      </c>
      <c r="D2279" s="111" t="s">
        <v>1340</v>
      </c>
      <c r="E2279" s="133"/>
      <c r="F2279" s="35">
        <v>984771</v>
      </c>
    </row>
    <row r="2280" spans="1:6" s="4" customFormat="1" ht="12">
      <c r="A2280" s="106">
        <v>540806</v>
      </c>
      <c r="B2280" s="111" t="s">
        <v>213</v>
      </c>
      <c r="C2280" s="103" t="s">
        <v>1341</v>
      </c>
      <c r="D2280" s="111" t="s">
        <v>1342</v>
      </c>
      <c r="E2280" s="133"/>
      <c r="F2280" s="35">
        <v>407742</v>
      </c>
    </row>
    <row r="2281" spans="1:6" s="4" customFormat="1" ht="12">
      <c r="A2281" s="106">
        <v>540806</v>
      </c>
      <c r="B2281" s="111" t="s">
        <v>213</v>
      </c>
      <c r="C2281" s="103" t="s">
        <v>1343</v>
      </c>
      <c r="D2281" s="111" t="s">
        <v>1344</v>
      </c>
      <c r="E2281" s="133"/>
      <c r="F2281" s="35">
        <v>307842</v>
      </c>
    </row>
    <row r="2282" spans="1:6" s="4" customFormat="1" ht="12">
      <c r="A2282" s="106">
        <v>540806</v>
      </c>
      <c r="B2282" s="111" t="s">
        <v>213</v>
      </c>
      <c r="C2282" s="103" t="s">
        <v>1345</v>
      </c>
      <c r="D2282" s="111" t="s">
        <v>1346</v>
      </c>
      <c r="E2282" s="133"/>
      <c r="F2282" s="35">
        <v>97438</v>
      </c>
    </row>
    <row r="2283" spans="1:6" s="4" customFormat="1" ht="12">
      <c r="A2283" s="106">
        <v>540806</v>
      </c>
      <c r="B2283" s="111" t="s">
        <v>213</v>
      </c>
      <c r="C2283" s="103" t="s">
        <v>637</v>
      </c>
      <c r="D2283" s="111" t="s">
        <v>1347</v>
      </c>
      <c r="E2283" s="133"/>
      <c r="F2283" s="35">
        <v>178550</v>
      </c>
    </row>
    <row r="2284" spans="1:6" s="4" customFormat="1" ht="12">
      <c r="A2284" s="106">
        <v>540806</v>
      </c>
      <c r="B2284" s="111" t="s">
        <v>213</v>
      </c>
      <c r="C2284" s="103" t="s">
        <v>1348</v>
      </c>
      <c r="D2284" s="111" t="s">
        <v>1349</v>
      </c>
      <c r="E2284" s="133"/>
      <c r="F2284" s="35">
        <v>295735</v>
      </c>
    </row>
    <row r="2285" spans="1:6" s="4" customFormat="1" ht="12">
      <c r="A2285" s="106">
        <v>540806</v>
      </c>
      <c r="B2285" s="111" t="s">
        <v>213</v>
      </c>
      <c r="C2285" s="103" t="s">
        <v>1350</v>
      </c>
      <c r="D2285" s="111" t="s">
        <v>1351</v>
      </c>
      <c r="E2285" s="133"/>
      <c r="F2285" s="35">
        <v>306596</v>
      </c>
    </row>
    <row r="2286" spans="1:6" s="4" customFormat="1" ht="12">
      <c r="A2286" s="106">
        <v>540806</v>
      </c>
      <c r="B2286" s="111" t="s">
        <v>213</v>
      </c>
      <c r="C2286" s="103" t="s">
        <v>692</v>
      </c>
      <c r="D2286" s="111" t="s">
        <v>1352</v>
      </c>
      <c r="E2286" s="133"/>
      <c r="F2286" s="35">
        <v>380208</v>
      </c>
    </row>
    <row r="2287" spans="1:6" s="4" customFormat="1" ht="12">
      <c r="A2287" s="106">
        <v>540806</v>
      </c>
      <c r="B2287" s="111" t="s">
        <v>213</v>
      </c>
      <c r="C2287" s="103" t="s">
        <v>716</v>
      </c>
      <c r="D2287" s="111" t="s">
        <v>1353</v>
      </c>
      <c r="E2287" s="133"/>
      <c r="F2287" s="35">
        <v>399951</v>
      </c>
    </row>
    <row r="2288" spans="1:6" s="4" customFormat="1" ht="12">
      <c r="A2288" s="106">
        <v>540806</v>
      </c>
      <c r="B2288" s="111" t="s">
        <v>213</v>
      </c>
      <c r="C2288" s="103" t="s">
        <v>1354</v>
      </c>
      <c r="D2288" s="111" t="s">
        <v>1279</v>
      </c>
      <c r="E2288" s="133"/>
      <c r="F2288" s="35">
        <v>1120964</v>
      </c>
    </row>
    <row r="2289" spans="1:6" s="4" customFormat="1" ht="12">
      <c r="A2289" s="106">
        <v>540806</v>
      </c>
      <c r="B2289" s="111" t="s">
        <v>213</v>
      </c>
      <c r="C2289" s="103" t="s">
        <v>1355</v>
      </c>
      <c r="D2289" s="111" t="s">
        <v>1356</v>
      </c>
      <c r="E2289" s="133"/>
      <c r="F2289" s="35">
        <v>295919</v>
      </c>
    </row>
    <row r="2290" spans="1:6" s="4" customFormat="1" ht="12">
      <c r="A2290" s="106">
        <v>540806</v>
      </c>
      <c r="B2290" s="111" t="s">
        <v>213</v>
      </c>
      <c r="C2290" s="103" t="s">
        <v>1357</v>
      </c>
      <c r="D2290" s="111" t="s">
        <v>1358</v>
      </c>
      <c r="E2290" s="133"/>
      <c r="F2290" s="35">
        <v>302752</v>
      </c>
    </row>
    <row r="2291" spans="1:6" s="4" customFormat="1" ht="12">
      <c r="A2291" s="106">
        <v>540806</v>
      </c>
      <c r="B2291" s="111" t="s">
        <v>213</v>
      </c>
      <c r="C2291" s="103" t="s">
        <v>3288</v>
      </c>
      <c r="D2291" s="111" t="s">
        <v>1359</v>
      </c>
      <c r="E2291" s="133"/>
      <c r="F2291" s="35">
        <v>182660</v>
      </c>
    </row>
    <row r="2292" spans="1:6" s="4" customFormat="1" ht="12">
      <c r="A2292" s="106">
        <v>540806</v>
      </c>
      <c r="B2292" s="111" t="s">
        <v>213</v>
      </c>
      <c r="C2292" s="103" t="s">
        <v>1360</v>
      </c>
      <c r="D2292" s="111" t="s">
        <v>1361</v>
      </c>
      <c r="E2292" s="133"/>
      <c r="F2292" s="35">
        <v>141295</v>
      </c>
    </row>
    <row r="2293" spans="1:6" s="4" customFormat="1" ht="12">
      <c r="A2293" s="106">
        <v>540806</v>
      </c>
      <c r="B2293" s="111" t="s">
        <v>213</v>
      </c>
      <c r="C2293" s="103" t="s">
        <v>3387</v>
      </c>
      <c r="D2293" s="111" t="s">
        <v>1362</v>
      </c>
      <c r="E2293" s="133"/>
      <c r="F2293" s="35">
        <v>113175</v>
      </c>
    </row>
    <row r="2294" spans="1:6" s="4" customFormat="1" ht="12">
      <c r="A2294" s="106">
        <v>540806</v>
      </c>
      <c r="B2294" s="111" t="s">
        <v>213</v>
      </c>
      <c r="C2294" s="103" t="s">
        <v>1363</v>
      </c>
      <c r="D2294" s="111" t="s">
        <v>1364</v>
      </c>
      <c r="E2294" s="133"/>
      <c r="F2294" s="35">
        <v>537819</v>
      </c>
    </row>
    <row r="2295" spans="1:6" s="4" customFormat="1" ht="12">
      <c r="A2295" s="106">
        <v>540806</v>
      </c>
      <c r="B2295" s="111" t="s">
        <v>213</v>
      </c>
      <c r="C2295" s="103">
        <v>213013030</v>
      </c>
      <c r="D2295" s="111" t="s">
        <v>1365</v>
      </c>
      <c r="E2295" s="133"/>
      <c r="F2295" s="35">
        <v>287979</v>
      </c>
    </row>
    <row r="2296" spans="1:6" s="4" customFormat="1" ht="12">
      <c r="A2296" s="106">
        <v>540806</v>
      </c>
      <c r="B2296" s="111" t="s">
        <v>213</v>
      </c>
      <c r="C2296" s="103" t="s">
        <v>1366</v>
      </c>
      <c r="D2296" s="111" t="s">
        <v>1367</v>
      </c>
      <c r="E2296" s="133"/>
      <c r="F2296" s="35">
        <v>197530</v>
      </c>
    </row>
    <row r="2297" spans="1:6" s="4" customFormat="1" ht="12">
      <c r="A2297" s="106">
        <v>540806</v>
      </c>
      <c r="B2297" s="111" t="s">
        <v>213</v>
      </c>
      <c r="C2297" s="103" t="s">
        <v>1368</v>
      </c>
      <c r="D2297" s="111" t="s">
        <v>1369</v>
      </c>
      <c r="E2297" s="133"/>
      <c r="F2297" s="35">
        <v>993974</v>
      </c>
    </row>
    <row r="2298" spans="1:6" s="4" customFormat="1" ht="12">
      <c r="A2298" s="106">
        <v>540806</v>
      </c>
      <c r="B2298" s="111" t="s">
        <v>213</v>
      </c>
      <c r="C2298" s="103" t="s">
        <v>1370</v>
      </c>
      <c r="D2298" s="111" t="s">
        <v>1371</v>
      </c>
      <c r="E2298" s="133"/>
      <c r="F2298" s="35">
        <v>204529</v>
      </c>
    </row>
    <row r="2299" spans="1:6" s="4" customFormat="1" ht="12">
      <c r="A2299" s="106">
        <v>540806</v>
      </c>
      <c r="B2299" s="111" t="s">
        <v>213</v>
      </c>
      <c r="C2299" s="103">
        <v>217413074</v>
      </c>
      <c r="D2299" s="111" t="s">
        <v>1372</v>
      </c>
      <c r="E2299" s="133"/>
      <c r="F2299" s="35">
        <v>428679</v>
      </c>
    </row>
    <row r="2300" spans="1:6" s="4" customFormat="1" ht="12">
      <c r="A2300" s="106">
        <v>540806</v>
      </c>
      <c r="B2300" s="111" t="s">
        <v>213</v>
      </c>
      <c r="C2300" s="103">
        <v>214013140</v>
      </c>
      <c r="D2300" s="111" t="s">
        <v>1373</v>
      </c>
      <c r="E2300" s="133"/>
      <c r="F2300" s="35">
        <v>458086</v>
      </c>
    </row>
    <row r="2301" spans="1:6" s="4" customFormat="1" ht="12">
      <c r="A2301" s="106">
        <v>540806</v>
      </c>
      <c r="B2301" s="111" t="s">
        <v>213</v>
      </c>
      <c r="C2301" s="103" t="s">
        <v>401</v>
      </c>
      <c r="D2301" s="111" t="s">
        <v>1374</v>
      </c>
      <c r="E2301" s="133"/>
      <c r="F2301" s="35">
        <v>211971</v>
      </c>
    </row>
    <row r="2302" spans="1:6" s="4" customFormat="1" ht="12">
      <c r="A2302" s="106">
        <v>540806</v>
      </c>
      <c r="B2302" s="111" t="s">
        <v>213</v>
      </c>
      <c r="C2302" s="103" t="s">
        <v>1375</v>
      </c>
      <c r="D2302" s="111" t="s">
        <v>1376</v>
      </c>
      <c r="E2302" s="133"/>
      <c r="F2302" s="35">
        <v>266799</v>
      </c>
    </row>
    <row r="2303" spans="1:6" s="4" customFormat="1" ht="12">
      <c r="A2303" s="106">
        <v>540806</v>
      </c>
      <c r="B2303" s="111" t="s">
        <v>213</v>
      </c>
      <c r="C2303" s="103" t="s">
        <v>1377</v>
      </c>
      <c r="D2303" s="111" t="s">
        <v>1096</v>
      </c>
      <c r="E2303" s="133"/>
      <c r="F2303" s="35">
        <v>343301</v>
      </c>
    </row>
    <row r="2304" spans="1:6" s="4" customFormat="1" ht="12">
      <c r="A2304" s="106">
        <v>540806</v>
      </c>
      <c r="B2304" s="111" t="s">
        <v>213</v>
      </c>
      <c r="C2304" s="103" t="s">
        <v>1378</v>
      </c>
      <c r="D2304" s="111" t="s">
        <v>1379</v>
      </c>
      <c r="E2304" s="133"/>
      <c r="F2304" s="35">
        <v>285523</v>
      </c>
    </row>
    <row r="2305" spans="1:6" s="4" customFormat="1" ht="12">
      <c r="A2305" s="106">
        <v>540806</v>
      </c>
      <c r="B2305" s="111" t="s">
        <v>213</v>
      </c>
      <c r="C2305" s="103" t="s">
        <v>531</v>
      </c>
      <c r="D2305" s="111" t="s">
        <v>1380</v>
      </c>
      <c r="E2305" s="133"/>
      <c r="F2305" s="35">
        <v>1216224</v>
      </c>
    </row>
    <row r="2306" spans="1:6" s="4" customFormat="1" ht="12">
      <c r="A2306" s="106">
        <v>540806</v>
      </c>
      <c r="B2306" s="111" t="s">
        <v>213</v>
      </c>
      <c r="C2306" s="103" t="s">
        <v>2932</v>
      </c>
      <c r="D2306" s="111" t="s">
        <v>1381</v>
      </c>
      <c r="E2306" s="133"/>
      <c r="F2306" s="35">
        <v>238876</v>
      </c>
    </row>
    <row r="2307" spans="1:6" s="4" customFormat="1" ht="12">
      <c r="A2307" s="106">
        <v>540806</v>
      </c>
      <c r="B2307" s="111" t="s">
        <v>213</v>
      </c>
      <c r="C2307" s="103" t="s">
        <v>1382</v>
      </c>
      <c r="D2307" s="111" t="s">
        <v>1383</v>
      </c>
      <c r="E2307" s="133"/>
      <c r="F2307" s="35">
        <v>226892</v>
      </c>
    </row>
    <row r="2308" spans="1:6" s="4" customFormat="1" ht="12">
      <c r="A2308" s="106">
        <v>540806</v>
      </c>
      <c r="B2308" s="111" t="s">
        <v>213</v>
      </c>
      <c r="C2308" s="103" t="s">
        <v>3060</v>
      </c>
      <c r="D2308" s="111" t="s">
        <v>1384</v>
      </c>
      <c r="E2308" s="133"/>
      <c r="F2308" s="35">
        <v>302191</v>
      </c>
    </row>
    <row r="2309" spans="1:6" s="4" customFormat="1" ht="12">
      <c r="A2309" s="106">
        <v>540806</v>
      </c>
      <c r="B2309" s="111" t="s">
        <v>213</v>
      </c>
      <c r="C2309" s="103" t="s">
        <v>3164</v>
      </c>
      <c r="D2309" s="111" t="s">
        <v>1385</v>
      </c>
      <c r="E2309" s="133"/>
      <c r="F2309" s="35">
        <v>477496</v>
      </c>
    </row>
    <row r="2310" spans="1:6" s="4" customFormat="1" ht="12">
      <c r="A2310" s="106">
        <v>540806</v>
      </c>
      <c r="B2310" s="111" t="s">
        <v>213</v>
      </c>
      <c r="C2310" s="103" t="s">
        <v>1386</v>
      </c>
      <c r="D2310" s="111" t="s">
        <v>1387</v>
      </c>
      <c r="E2310" s="133"/>
      <c r="F2310" s="35">
        <v>287229</v>
      </c>
    </row>
    <row r="2311" spans="1:6" s="4" customFormat="1" ht="12">
      <c r="A2311" s="106">
        <v>540806</v>
      </c>
      <c r="B2311" s="111" t="s">
        <v>213</v>
      </c>
      <c r="C2311" s="103" t="s">
        <v>3176</v>
      </c>
      <c r="D2311" s="111" t="s">
        <v>1388</v>
      </c>
      <c r="E2311" s="133"/>
      <c r="F2311" s="35">
        <v>1057049</v>
      </c>
    </row>
    <row r="2312" spans="1:6" s="4" customFormat="1" ht="12">
      <c r="A2312" s="106">
        <v>540806</v>
      </c>
      <c r="B2312" s="111" t="s">
        <v>213</v>
      </c>
      <c r="C2312" s="103">
        <v>215813458</v>
      </c>
      <c r="D2312" s="111" t="s">
        <v>1389</v>
      </c>
      <c r="E2312" s="133"/>
      <c r="F2312" s="35">
        <v>387778</v>
      </c>
    </row>
    <row r="2313" spans="1:6" s="4" customFormat="1" ht="12">
      <c r="A2313" s="106">
        <v>540806</v>
      </c>
      <c r="B2313" s="111" t="s">
        <v>213</v>
      </c>
      <c r="C2313" s="103">
        <v>216813468</v>
      </c>
      <c r="D2313" s="111" t="s">
        <v>1390</v>
      </c>
      <c r="E2313" s="133"/>
      <c r="F2313" s="35">
        <v>866656</v>
      </c>
    </row>
    <row r="2314" spans="1:6" s="4" customFormat="1" ht="12">
      <c r="A2314" s="106">
        <v>540806</v>
      </c>
      <c r="B2314" s="111" t="s">
        <v>213</v>
      </c>
      <c r="C2314" s="103" t="s">
        <v>1391</v>
      </c>
      <c r="D2314" s="111" t="s">
        <v>1392</v>
      </c>
      <c r="E2314" s="133"/>
      <c r="F2314" s="35">
        <v>472797</v>
      </c>
    </row>
    <row r="2315" spans="1:6" s="4" customFormat="1" ht="12">
      <c r="A2315" s="106">
        <v>540806</v>
      </c>
      <c r="B2315" s="111" t="s">
        <v>213</v>
      </c>
      <c r="C2315" s="103" t="s">
        <v>1393</v>
      </c>
      <c r="D2315" s="111" t="s">
        <v>1394</v>
      </c>
      <c r="E2315" s="133"/>
      <c r="F2315" s="35">
        <v>568476</v>
      </c>
    </row>
    <row r="2316" spans="1:6" s="4" customFormat="1" ht="12">
      <c r="A2316" s="106">
        <v>540806</v>
      </c>
      <c r="B2316" s="111" t="s">
        <v>213</v>
      </c>
      <c r="C2316" s="103" t="s">
        <v>1395</v>
      </c>
      <c r="D2316" s="111" t="s">
        <v>1396</v>
      </c>
      <c r="E2316" s="133"/>
      <c r="F2316" s="35">
        <v>180841</v>
      </c>
    </row>
    <row r="2317" spans="1:6" s="4" customFormat="1" ht="12">
      <c r="A2317" s="106">
        <v>540806</v>
      </c>
      <c r="B2317" s="111" t="s">
        <v>213</v>
      </c>
      <c r="C2317" s="103">
        <v>210013600</v>
      </c>
      <c r="D2317" s="111" t="s">
        <v>1397</v>
      </c>
      <c r="E2317" s="133"/>
      <c r="F2317" s="35">
        <v>335535</v>
      </c>
    </row>
    <row r="2318" spans="1:6" s="4" customFormat="1" ht="12">
      <c r="A2318" s="106">
        <v>540806</v>
      </c>
      <c r="B2318" s="111" t="s">
        <v>213</v>
      </c>
      <c r="C2318" s="103" t="s">
        <v>1398</v>
      </c>
      <c r="D2318" s="111" t="s">
        <v>1399</v>
      </c>
      <c r="E2318" s="133"/>
      <c r="F2318" s="35">
        <v>143431</v>
      </c>
    </row>
    <row r="2319" spans="1:6" s="4" customFormat="1" ht="12">
      <c r="A2319" s="106">
        <v>540806</v>
      </c>
      <c r="B2319" s="111" t="s">
        <v>213</v>
      </c>
      <c r="C2319" s="103" t="s">
        <v>764</v>
      </c>
      <c r="D2319" s="111" t="s">
        <v>1400</v>
      </c>
      <c r="E2319" s="133"/>
      <c r="F2319" s="35">
        <v>264623</v>
      </c>
    </row>
    <row r="2320" spans="1:6" s="4" customFormat="1" ht="12">
      <c r="A2320" s="106">
        <v>540806</v>
      </c>
      <c r="B2320" s="111" t="s">
        <v>213</v>
      </c>
      <c r="C2320" s="103" t="s">
        <v>1401</v>
      </c>
      <c r="D2320" s="111" t="s">
        <v>1402</v>
      </c>
      <c r="E2320" s="133"/>
      <c r="F2320" s="35">
        <v>247446</v>
      </c>
    </row>
    <row r="2321" spans="1:6" s="4" customFormat="1" ht="12">
      <c r="A2321" s="106">
        <v>540806</v>
      </c>
      <c r="B2321" s="111" t="s">
        <v>213</v>
      </c>
      <c r="C2321" s="103" t="s">
        <v>769</v>
      </c>
      <c r="D2321" s="111" t="s">
        <v>1403</v>
      </c>
      <c r="E2321" s="133"/>
      <c r="F2321" s="35">
        <v>535570</v>
      </c>
    </row>
    <row r="2322" spans="1:6" s="4" customFormat="1" ht="12">
      <c r="A2322" s="106">
        <v>540806</v>
      </c>
      <c r="B2322" s="111" t="s">
        <v>213</v>
      </c>
      <c r="C2322" s="103">
        <v>215513655</v>
      </c>
      <c r="D2322" s="111" t="s">
        <v>1404</v>
      </c>
      <c r="E2322" s="133"/>
      <c r="F2322" s="35">
        <v>317272</v>
      </c>
    </row>
    <row r="2323" spans="1:6" s="4" customFormat="1" ht="12">
      <c r="A2323" s="106">
        <v>540806</v>
      </c>
      <c r="B2323" s="111" t="s">
        <v>213</v>
      </c>
      <c r="C2323" s="103">
        <v>215713657</v>
      </c>
      <c r="D2323" s="111" t="s">
        <v>1405</v>
      </c>
      <c r="E2323" s="133"/>
      <c r="F2323" s="35">
        <v>679793</v>
      </c>
    </row>
    <row r="2324" spans="1:6" s="4" customFormat="1" ht="12">
      <c r="A2324" s="106">
        <v>540806</v>
      </c>
      <c r="B2324" s="111" t="s">
        <v>213</v>
      </c>
      <c r="C2324" s="103">
        <v>216713667</v>
      </c>
      <c r="D2324" s="111" t="s">
        <v>1406</v>
      </c>
      <c r="E2324" s="133"/>
      <c r="F2324" s="35">
        <v>471369</v>
      </c>
    </row>
    <row r="2325" spans="1:6" s="4" customFormat="1" ht="12">
      <c r="A2325" s="106">
        <v>540806</v>
      </c>
      <c r="B2325" s="111" t="s">
        <v>213</v>
      </c>
      <c r="C2325" s="103" t="s">
        <v>1407</v>
      </c>
      <c r="D2325" s="111" t="s">
        <v>1408</v>
      </c>
      <c r="E2325" s="133"/>
      <c r="F2325" s="35">
        <v>601765</v>
      </c>
    </row>
    <row r="2326" spans="1:6" s="4" customFormat="1" ht="12">
      <c r="A2326" s="106">
        <v>540806</v>
      </c>
      <c r="B2326" s="111" t="s">
        <v>213</v>
      </c>
      <c r="C2326" s="103" t="s">
        <v>1409</v>
      </c>
      <c r="D2326" s="111" t="s">
        <v>1410</v>
      </c>
      <c r="E2326" s="133"/>
      <c r="F2326" s="35">
        <v>293870</v>
      </c>
    </row>
    <row r="2327" spans="1:6" s="4" customFormat="1" ht="12">
      <c r="A2327" s="106">
        <v>540806</v>
      </c>
      <c r="B2327" s="111" t="s">
        <v>213</v>
      </c>
      <c r="C2327" s="103">
        <v>218313683</v>
      </c>
      <c r="D2327" s="111" t="s">
        <v>1411</v>
      </c>
      <c r="E2327" s="133"/>
      <c r="F2327" s="35">
        <v>363060</v>
      </c>
    </row>
    <row r="2328" spans="1:6" s="4" customFormat="1" ht="12">
      <c r="A2328" s="106">
        <v>540806</v>
      </c>
      <c r="B2328" s="111" t="s">
        <v>213</v>
      </c>
      <c r="C2328" s="103">
        <v>218813688</v>
      </c>
      <c r="D2328" s="111" t="s">
        <v>1412</v>
      </c>
      <c r="E2328" s="133"/>
      <c r="F2328" s="35">
        <v>637545</v>
      </c>
    </row>
    <row r="2329" spans="1:6" s="4" customFormat="1" ht="12">
      <c r="A2329" s="106">
        <v>540806</v>
      </c>
      <c r="B2329" s="111" t="s">
        <v>213</v>
      </c>
      <c r="C2329" s="103" t="s">
        <v>3262</v>
      </c>
      <c r="D2329" s="111" t="s">
        <v>1413</v>
      </c>
      <c r="E2329" s="133"/>
      <c r="F2329" s="35">
        <v>488072</v>
      </c>
    </row>
    <row r="2330" spans="1:6" s="4" customFormat="1" ht="12">
      <c r="A2330" s="106">
        <v>540806</v>
      </c>
      <c r="B2330" s="111" t="s">
        <v>213</v>
      </c>
      <c r="C2330" s="103" t="s">
        <v>3278</v>
      </c>
      <c r="D2330" s="111" t="s">
        <v>1414</v>
      </c>
      <c r="E2330" s="133"/>
      <c r="F2330" s="35">
        <v>182305</v>
      </c>
    </row>
    <row r="2331" spans="1:6" s="4" customFormat="1" ht="12">
      <c r="A2331" s="106">
        <v>540806</v>
      </c>
      <c r="B2331" s="111" t="s">
        <v>213</v>
      </c>
      <c r="C2331" s="103" t="s">
        <v>3310</v>
      </c>
      <c r="D2331" s="111" t="s">
        <v>1415</v>
      </c>
      <c r="E2331" s="133"/>
      <c r="F2331" s="35">
        <v>283414</v>
      </c>
    </row>
    <row r="2332" spans="1:6" s="4" customFormat="1" ht="12">
      <c r="A2332" s="106">
        <v>540806</v>
      </c>
      <c r="B2332" s="111" t="s">
        <v>213</v>
      </c>
      <c r="C2332" s="103" t="s">
        <v>1416</v>
      </c>
      <c r="D2332" s="111" t="s">
        <v>1417</v>
      </c>
      <c r="E2332" s="133"/>
      <c r="F2332" s="35">
        <v>441482</v>
      </c>
    </row>
    <row r="2333" spans="1:6" s="4" customFormat="1" ht="12">
      <c r="A2333" s="106">
        <v>540806</v>
      </c>
      <c r="B2333" s="111" t="s">
        <v>213</v>
      </c>
      <c r="C2333" s="103" t="s">
        <v>1418</v>
      </c>
      <c r="D2333" s="111" t="s">
        <v>1419</v>
      </c>
      <c r="E2333" s="133"/>
      <c r="F2333" s="35">
        <v>814709</v>
      </c>
    </row>
    <row r="2334" spans="1:6" s="4" customFormat="1" ht="12">
      <c r="A2334" s="106">
        <v>540806</v>
      </c>
      <c r="B2334" s="111" t="s">
        <v>213</v>
      </c>
      <c r="C2334" s="103" t="s">
        <v>1420</v>
      </c>
      <c r="D2334" s="111" t="s">
        <v>1421</v>
      </c>
      <c r="E2334" s="133"/>
      <c r="F2334" s="35">
        <v>333772</v>
      </c>
    </row>
    <row r="2335" spans="1:6" s="4" customFormat="1" ht="12">
      <c r="A2335" s="106">
        <v>540806</v>
      </c>
      <c r="B2335" s="111" t="s">
        <v>213</v>
      </c>
      <c r="C2335" s="103" t="s">
        <v>1422</v>
      </c>
      <c r="D2335" s="111" t="s">
        <v>1423</v>
      </c>
      <c r="E2335" s="133"/>
      <c r="F2335" s="35">
        <v>353189</v>
      </c>
    </row>
    <row r="2336" spans="1:6" s="4" customFormat="1" ht="12">
      <c r="A2336" s="106">
        <v>540806</v>
      </c>
      <c r="B2336" s="111" t="s">
        <v>213</v>
      </c>
      <c r="C2336" s="103" t="s">
        <v>1037</v>
      </c>
      <c r="D2336" s="111" t="s">
        <v>1424</v>
      </c>
      <c r="E2336" s="133"/>
      <c r="F2336" s="35">
        <v>225985</v>
      </c>
    </row>
    <row r="2337" spans="1:6" s="4" customFormat="1" ht="12">
      <c r="A2337" s="106">
        <v>540806</v>
      </c>
      <c r="B2337" s="111" t="s">
        <v>213</v>
      </c>
      <c r="C2337" s="103" t="s">
        <v>269</v>
      </c>
      <c r="D2337" s="111" t="s">
        <v>1425</v>
      </c>
      <c r="E2337" s="133"/>
      <c r="F2337" s="35">
        <v>41638</v>
      </c>
    </row>
    <row r="2338" spans="1:6" s="4" customFormat="1" ht="12">
      <c r="A2338" s="106">
        <v>540806</v>
      </c>
      <c r="B2338" s="111" t="s">
        <v>213</v>
      </c>
      <c r="C2338" s="103" t="s">
        <v>294</v>
      </c>
      <c r="D2338" s="111" t="s">
        <v>1426</v>
      </c>
      <c r="E2338" s="133"/>
      <c r="F2338" s="35">
        <v>216745</v>
      </c>
    </row>
    <row r="2339" spans="1:6" s="4" customFormat="1" ht="12">
      <c r="A2339" s="106">
        <v>540806</v>
      </c>
      <c r="B2339" s="111" t="s">
        <v>213</v>
      </c>
      <c r="C2339" s="103" t="s">
        <v>307</v>
      </c>
      <c r="D2339" s="111" t="s">
        <v>1427</v>
      </c>
      <c r="E2339" s="133"/>
      <c r="F2339" s="35">
        <v>90680</v>
      </c>
    </row>
    <row r="2340" spans="1:6" s="4" customFormat="1" ht="12">
      <c r="A2340" s="106">
        <v>540806</v>
      </c>
      <c r="B2340" s="111" t="s">
        <v>213</v>
      </c>
      <c r="C2340" s="103" t="s">
        <v>1428</v>
      </c>
      <c r="D2340" s="111" t="s">
        <v>1429</v>
      </c>
      <c r="E2340" s="133"/>
      <c r="F2340" s="35">
        <v>121798</v>
      </c>
    </row>
    <row r="2341" spans="1:6" s="4" customFormat="1" ht="12">
      <c r="A2341" s="106">
        <v>540806</v>
      </c>
      <c r="B2341" s="111" t="s">
        <v>213</v>
      </c>
      <c r="C2341" s="103" t="s">
        <v>342</v>
      </c>
      <c r="D2341" s="111" t="s">
        <v>1430</v>
      </c>
      <c r="E2341" s="133"/>
      <c r="F2341" s="35">
        <v>37277</v>
      </c>
    </row>
    <row r="2342" spans="1:6" s="4" customFormat="1" ht="12">
      <c r="A2342" s="106">
        <v>540806</v>
      </c>
      <c r="B2342" s="111" t="s">
        <v>213</v>
      </c>
      <c r="C2342" s="103" t="s">
        <v>344</v>
      </c>
      <c r="D2342" s="111" t="s">
        <v>1431</v>
      </c>
      <c r="E2342" s="133"/>
      <c r="F2342" s="35">
        <v>35222</v>
      </c>
    </row>
    <row r="2343" spans="1:6" s="4" customFormat="1" ht="12">
      <c r="A2343" s="106">
        <v>540806</v>
      </c>
      <c r="B2343" s="111" t="s">
        <v>213</v>
      </c>
      <c r="C2343" s="103" t="s">
        <v>350</v>
      </c>
      <c r="D2343" s="111" t="s">
        <v>1432</v>
      </c>
      <c r="E2343" s="133"/>
      <c r="F2343" s="35">
        <v>108649</v>
      </c>
    </row>
    <row r="2344" spans="1:6" s="4" customFormat="1" ht="12">
      <c r="A2344" s="106">
        <v>540806</v>
      </c>
      <c r="B2344" s="111" t="s">
        <v>213</v>
      </c>
      <c r="C2344" s="103" t="s">
        <v>1433</v>
      </c>
      <c r="D2344" s="111" t="s">
        <v>1090</v>
      </c>
      <c r="E2344" s="133"/>
      <c r="F2344" s="35">
        <v>72572</v>
      </c>
    </row>
    <row r="2345" spans="1:6" s="4" customFormat="1" ht="12">
      <c r="A2345" s="106">
        <v>540806</v>
      </c>
      <c r="B2345" s="111" t="s">
        <v>213</v>
      </c>
      <c r="C2345" s="103" t="s">
        <v>358</v>
      </c>
      <c r="D2345" s="111" t="s">
        <v>1434</v>
      </c>
      <c r="E2345" s="133"/>
      <c r="F2345" s="35">
        <v>43391</v>
      </c>
    </row>
    <row r="2346" spans="1:6" s="4" customFormat="1" ht="12">
      <c r="A2346" s="106">
        <v>540806</v>
      </c>
      <c r="B2346" s="111" t="s">
        <v>213</v>
      </c>
      <c r="C2346" s="103" t="s">
        <v>1435</v>
      </c>
      <c r="D2346" s="111" t="s">
        <v>1436</v>
      </c>
      <c r="E2346" s="133"/>
      <c r="F2346" s="35">
        <v>86218</v>
      </c>
    </row>
    <row r="2347" spans="1:6" s="4" customFormat="1" ht="12">
      <c r="A2347" s="106">
        <v>540806</v>
      </c>
      <c r="B2347" s="111" t="s">
        <v>213</v>
      </c>
      <c r="C2347" s="103">
        <v>211415114</v>
      </c>
      <c r="D2347" s="111" t="s">
        <v>1437</v>
      </c>
      <c r="E2347" s="133"/>
      <c r="F2347" s="35">
        <v>14694</v>
      </c>
    </row>
    <row r="2348" spans="1:6" s="4" customFormat="1" ht="12">
      <c r="A2348" s="106">
        <v>540806</v>
      </c>
      <c r="B2348" s="111" t="s">
        <v>213</v>
      </c>
      <c r="C2348" s="103" t="s">
        <v>384</v>
      </c>
      <c r="D2348" s="111" t="s">
        <v>1091</v>
      </c>
      <c r="E2348" s="133"/>
      <c r="F2348" s="35">
        <v>52124</v>
      </c>
    </row>
    <row r="2349" spans="1:6" s="4" customFormat="1" ht="12">
      <c r="A2349" s="106">
        <v>540806</v>
      </c>
      <c r="B2349" s="111" t="s">
        <v>213</v>
      </c>
      <c r="C2349" s="103" t="s">
        <v>398</v>
      </c>
      <c r="D2349" s="111" t="s">
        <v>1438</v>
      </c>
      <c r="E2349" s="133"/>
      <c r="F2349" s="35">
        <v>54414</v>
      </c>
    </row>
    <row r="2350" spans="1:6" s="4" customFormat="1" ht="12">
      <c r="A2350" s="106">
        <v>540806</v>
      </c>
      <c r="B2350" s="111" t="s">
        <v>213</v>
      </c>
      <c r="C2350" s="103" t="s">
        <v>420</v>
      </c>
      <c r="D2350" s="111" t="s">
        <v>1439</v>
      </c>
      <c r="E2350" s="133"/>
      <c r="F2350" s="35">
        <v>57956</v>
      </c>
    </row>
    <row r="2351" spans="1:6" s="4" customFormat="1" ht="12">
      <c r="A2351" s="106">
        <v>540806</v>
      </c>
      <c r="B2351" s="111" t="s">
        <v>213</v>
      </c>
      <c r="C2351" s="103" t="s">
        <v>438</v>
      </c>
      <c r="D2351" s="111" t="s">
        <v>1440</v>
      </c>
      <c r="E2351" s="133"/>
      <c r="F2351" s="35">
        <v>52307</v>
      </c>
    </row>
    <row r="2352" spans="1:6" s="4" customFormat="1" ht="12">
      <c r="A2352" s="106">
        <v>540806</v>
      </c>
      <c r="B2352" s="111" t="s">
        <v>213</v>
      </c>
      <c r="C2352" s="103" t="s">
        <v>445</v>
      </c>
      <c r="D2352" s="111" t="s">
        <v>1441</v>
      </c>
      <c r="E2352" s="133"/>
      <c r="F2352" s="35">
        <v>739680</v>
      </c>
    </row>
    <row r="2353" spans="1:6" s="4" customFormat="1" ht="12">
      <c r="A2353" s="106">
        <v>540806</v>
      </c>
      <c r="B2353" s="111" t="s">
        <v>213</v>
      </c>
      <c r="C2353" s="103" t="s">
        <v>448</v>
      </c>
      <c r="D2353" s="111" t="s">
        <v>1442</v>
      </c>
      <c r="E2353" s="133"/>
      <c r="F2353" s="35">
        <v>142522</v>
      </c>
    </row>
    <row r="2354" spans="1:6" s="4" customFormat="1" ht="12">
      <c r="A2354" s="106">
        <v>540806</v>
      </c>
      <c r="B2354" s="111" t="s">
        <v>213</v>
      </c>
      <c r="C2354" s="103" t="s">
        <v>450</v>
      </c>
      <c r="D2354" s="111" t="s">
        <v>1443</v>
      </c>
      <c r="E2354" s="133"/>
      <c r="F2354" s="35">
        <v>189545</v>
      </c>
    </row>
    <row r="2355" spans="1:6" s="4" customFormat="1" ht="12">
      <c r="A2355" s="106">
        <v>540806</v>
      </c>
      <c r="B2355" s="111" t="s">
        <v>213</v>
      </c>
      <c r="C2355" s="103" t="s">
        <v>452</v>
      </c>
      <c r="D2355" s="111" t="s">
        <v>1444</v>
      </c>
      <c r="E2355" s="133"/>
      <c r="F2355" s="35">
        <v>122043</v>
      </c>
    </row>
    <row r="2356" spans="1:6" s="4" customFormat="1" ht="12">
      <c r="A2356" s="106">
        <v>540806</v>
      </c>
      <c r="B2356" s="111" t="s">
        <v>213</v>
      </c>
      <c r="C2356" s="103" t="s">
        <v>454</v>
      </c>
      <c r="D2356" s="111" t="s">
        <v>1445</v>
      </c>
      <c r="E2356" s="133"/>
      <c r="F2356" s="35">
        <v>48317</v>
      </c>
    </row>
    <row r="2357" spans="1:6" s="4" customFormat="1" ht="12">
      <c r="A2357" s="106">
        <v>540806</v>
      </c>
      <c r="B2357" s="111" t="s">
        <v>213</v>
      </c>
      <c r="C2357" s="103">
        <v>218915189</v>
      </c>
      <c r="D2357" s="111" t="s">
        <v>1148</v>
      </c>
      <c r="E2357" s="133"/>
      <c r="F2357" s="35">
        <v>62422</v>
      </c>
    </row>
    <row r="2358" spans="1:6" s="4" customFormat="1" ht="12">
      <c r="A2358" s="106">
        <v>540806</v>
      </c>
      <c r="B2358" s="111" t="s">
        <v>213</v>
      </c>
      <c r="C2358" s="103" t="s">
        <v>473</v>
      </c>
      <c r="D2358" s="111" t="s">
        <v>1446</v>
      </c>
      <c r="E2358" s="133"/>
      <c r="F2358" s="35">
        <v>117066</v>
      </c>
    </row>
    <row r="2359" spans="1:6" s="4" customFormat="1" ht="12">
      <c r="A2359" s="106">
        <v>540806</v>
      </c>
      <c r="B2359" s="111" t="s">
        <v>213</v>
      </c>
      <c r="C2359" s="103" t="s">
        <v>485</v>
      </c>
      <c r="D2359" s="111" t="s">
        <v>1447</v>
      </c>
      <c r="E2359" s="133"/>
      <c r="F2359" s="35">
        <v>67750</v>
      </c>
    </row>
    <row r="2360" spans="1:6" s="4" customFormat="1" ht="12">
      <c r="A2360" s="106">
        <v>540806</v>
      </c>
      <c r="B2360" s="111" t="s">
        <v>213</v>
      </c>
      <c r="C2360" s="103" t="s">
        <v>492</v>
      </c>
      <c r="D2360" s="111" t="s">
        <v>1448</v>
      </c>
      <c r="E2360" s="133"/>
      <c r="F2360" s="35">
        <v>36173</v>
      </c>
    </row>
    <row r="2361" spans="1:6" s="4" customFormat="1" ht="12">
      <c r="A2361" s="106">
        <v>540806</v>
      </c>
      <c r="B2361" s="111" t="s">
        <v>213</v>
      </c>
      <c r="C2361" s="103" t="s">
        <v>496</v>
      </c>
      <c r="D2361" s="111" t="s">
        <v>1449</v>
      </c>
      <c r="E2361" s="133"/>
      <c r="F2361" s="35">
        <v>56846</v>
      </c>
    </row>
    <row r="2362" spans="1:6" s="4" customFormat="1" ht="12">
      <c r="A2362" s="106">
        <v>540806</v>
      </c>
      <c r="B2362" s="111" t="s">
        <v>213</v>
      </c>
      <c r="C2362" s="103" t="s">
        <v>500</v>
      </c>
      <c r="D2362" s="111" t="s">
        <v>1450</v>
      </c>
      <c r="E2362" s="133"/>
      <c r="F2362" s="35">
        <v>103883</v>
      </c>
    </row>
    <row r="2363" spans="1:6" s="4" customFormat="1" ht="12">
      <c r="A2363" s="106">
        <v>540806</v>
      </c>
      <c r="B2363" s="111" t="s">
        <v>213</v>
      </c>
      <c r="C2363" s="103" t="s">
        <v>503</v>
      </c>
      <c r="D2363" s="111" t="s">
        <v>1451</v>
      </c>
      <c r="E2363" s="133"/>
      <c r="F2363" s="35">
        <v>67925</v>
      </c>
    </row>
    <row r="2364" spans="1:6" s="4" customFormat="1" ht="12">
      <c r="A2364" s="106">
        <v>540806</v>
      </c>
      <c r="B2364" s="111" t="s">
        <v>213</v>
      </c>
      <c r="C2364" s="103" t="s">
        <v>509</v>
      </c>
      <c r="D2364" s="111" t="s">
        <v>1452</v>
      </c>
      <c r="E2364" s="133"/>
      <c r="F2364" s="35">
        <v>30998</v>
      </c>
    </row>
    <row r="2365" spans="1:6" s="4" customFormat="1" ht="12">
      <c r="A2365" s="106">
        <v>540806</v>
      </c>
      <c r="B2365" s="111" t="s">
        <v>213</v>
      </c>
      <c r="C2365" s="103">
        <v>213215232</v>
      </c>
      <c r="D2365" s="111" t="s">
        <v>1453</v>
      </c>
      <c r="E2365" s="133"/>
      <c r="F2365" s="35">
        <v>84341</v>
      </c>
    </row>
    <row r="2366" spans="1:6" s="4" customFormat="1" ht="12">
      <c r="A2366" s="106">
        <v>540806</v>
      </c>
      <c r="B2366" s="111" t="s">
        <v>213</v>
      </c>
      <c r="C2366" s="103" t="s">
        <v>456</v>
      </c>
      <c r="D2366" s="111" t="s">
        <v>1454</v>
      </c>
      <c r="E2366" s="133"/>
      <c r="F2366" s="35">
        <v>33996</v>
      </c>
    </row>
    <row r="2367" spans="1:6" s="4" customFormat="1" ht="12">
      <c r="A2367" s="106">
        <v>540806</v>
      </c>
      <c r="B2367" s="111" t="s">
        <v>213</v>
      </c>
      <c r="C2367" s="103" t="s">
        <v>535</v>
      </c>
      <c r="D2367" s="111" t="s">
        <v>1455</v>
      </c>
      <c r="E2367" s="133"/>
      <c r="F2367" s="35">
        <v>77552</v>
      </c>
    </row>
    <row r="2368" spans="1:6" s="4" customFormat="1" ht="12">
      <c r="A2368" s="106">
        <v>540806</v>
      </c>
      <c r="B2368" s="111" t="s">
        <v>213</v>
      </c>
      <c r="C2368" s="103" t="s">
        <v>2930</v>
      </c>
      <c r="D2368" s="111" t="s">
        <v>1456</v>
      </c>
      <c r="E2368" s="133"/>
      <c r="F2368" s="35">
        <v>45545</v>
      </c>
    </row>
    <row r="2369" spans="1:6" s="4" customFormat="1" ht="12">
      <c r="A2369" s="106">
        <v>540806</v>
      </c>
      <c r="B2369" s="111" t="s">
        <v>213</v>
      </c>
      <c r="C2369" s="103" t="s">
        <v>2963</v>
      </c>
      <c r="D2369" s="111" t="s">
        <v>1457</v>
      </c>
      <c r="E2369" s="133"/>
      <c r="F2369" s="35">
        <v>69351</v>
      </c>
    </row>
    <row r="2370" spans="1:6" s="4" customFormat="1" ht="12">
      <c r="A2370" s="106">
        <v>540806</v>
      </c>
      <c r="B2370" s="111" t="s">
        <v>213</v>
      </c>
      <c r="C2370" s="103" t="s">
        <v>1458</v>
      </c>
      <c r="D2370" s="111" t="s">
        <v>1459</v>
      </c>
      <c r="E2370" s="133"/>
      <c r="F2370" s="35">
        <v>55253</v>
      </c>
    </row>
    <row r="2371" spans="1:6" s="4" customFormat="1" ht="12">
      <c r="A2371" s="106">
        <v>540806</v>
      </c>
      <c r="B2371" s="111" t="s">
        <v>213</v>
      </c>
      <c r="C2371" s="103" t="s">
        <v>2992</v>
      </c>
      <c r="D2371" s="111" t="s">
        <v>1460</v>
      </c>
      <c r="E2371" s="133"/>
      <c r="F2371" s="35">
        <v>46156</v>
      </c>
    </row>
    <row r="2372" spans="1:6" s="4" customFormat="1" ht="12">
      <c r="A2372" s="106">
        <v>540806</v>
      </c>
      <c r="B2372" s="111" t="s">
        <v>213</v>
      </c>
      <c r="C2372" s="103" t="s">
        <v>3002</v>
      </c>
      <c r="D2372" s="111" t="s">
        <v>1461</v>
      </c>
      <c r="E2372" s="133"/>
      <c r="F2372" s="35">
        <v>66518</v>
      </c>
    </row>
    <row r="2373" spans="1:6" s="4" customFormat="1" ht="12">
      <c r="A2373" s="106">
        <v>540806</v>
      </c>
      <c r="B2373" s="111" t="s">
        <v>213</v>
      </c>
      <c r="C2373" s="103" t="s">
        <v>3004</v>
      </c>
      <c r="D2373" s="111" t="s">
        <v>1462</v>
      </c>
      <c r="E2373" s="133"/>
      <c r="F2373" s="35">
        <v>225983</v>
      </c>
    </row>
    <row r="2374" spans="1:6" s="4" customFormat="1" ht="12">
      <c r="A2374" s="106">
        <v>540806</v>
      </c>
      <c r="B2374" s="111" t="s">
        <v>213</v>
      </c>
      <c r="C2374" s="103" t="s">
        <v>1463</v>
      </c>
      <c r="D2374" s="111" t="s">
        <v>1464</v>
      </c>
      <c r="E2374" s="133"/>
      <c r="F2374" s="35">
        <v>46435</v>
      </c>
    </row>
    <row r="2375" spans="1:6" s="4" customFormat="1" ht="12">
      <c r="A2375" s="106">
        <v>540806</v>
      </c>
      <c r="B2375" s="111" t="s">
        <v>213</v>
      </c>
      <c r="C2375" s="103" t="s">
        <v>3048</v>
      </c>
      <c r="D2375" s="111" t="s">
        <v>1465</v>
      </c>
      <c r="E2375" s="133"/>
      <c r="F2375" s="35">
        <v>144320</v>
      </c>
    </row>
    <row r="2376" spans="1:6" s="4" customFormat="1" ht="12">
      <c r="A2376" s="106">
        <v>540806</v>
      </c>
      <c r="B2376" s="111" t="s">
        <v>213</v>
      </c>
      <c r="C2376" s="103" t="s">
        <v>3056</v>
      </c>
      <c r="D2376" s="111" t="s">
        <v>1466</v>
      </c>
      <c r="E2376" s="133"/>
      <c r="F2376" s="35">
        <v>61814</v>
      </c>
    </row>
    <row r="2377" spans="1:6" s="4" customFormat="1" ht="12">
      <c r="A2377" s="106">
        <v>540806</v>
      </c>
      <c r="B2377" s="111" t="s">
        <v>213</v>
      </c>
      <c r="C2377" s="103">
        <v>213215332</v>
      </c>
      <c r="D2377" s="111" t="s">
        <v>1467</v>
      </c>
      <c r="E2377" s="133"/>
      <c r="F2377" s="35">
        <v>57466</v>
      </c>
    </row>
    <row r="2378" spans="1:6" s="4" customFormat="1" ht="12">
      <c r="A2378" s="106">
        <v>540806</v>
      </c>
      <c r="B2378" s="111" t="s">
        <v>213</v>
      </c>
      <c r="C2378" s="103" t="s">
        <v>1468</v>
      </c>
      <c r="D2378" s="111" t="s">
        <v>1469</v>
      </c>
      <c r="E2378" s="133"/>
      <c r="F2378" s="35">
        <v>31158</v>
      </c>
    </row>
    <row r="2379" spans="1:6" s="4" customFormat="1" ht="12">
      <c r="A2379" s="106">
        <v>540806</v>
      </c>
      <c r="B2379" s="111" t="s">
        <v>213</v>
      </c>
      <c r="C2379" s="103" t="s">
        <v>3080</v>
      </c>
      <c r="D2379" s="111" t="s">
        <v>1470</v>
      </c>
      <c r="E2379" s="133"/>
      <c r="F2379" s="35">
        <v>87549</v>
      </c>
    </row>
    <row r="2380" spans="1:6" s="4" customFormat="1" ht="12">
      <c r="A2380" s="106">
        <v>540806</v>
      </c>
      <c r="B2380" s="111" t="s">
        <v>213</v>
      </c>
      <c r="C2380" s="103" t="s">
        <v>3082</v>
      </c>
      <c r="D2380" s="111" t="s">
        <v>1246</v>
      </c>
      <c r="E2380" s="133"/>
      <c r="F2380" s="35">
        <v>77169</v>
      </c>
    </row>
    <row r="2381" spans="1:6" s="4" customFormat="1" ht="12">
      <c r="A2381" s="106">
        <v>540806</v>
      </c>
      <c r="B2381" s="111" t="s">
        <v>213</v>
      </c>
      <c r="C2381" s="103" t="s">
        <v>3139</v>
      </c>
      <c r="D2381" s="111" t="s">
        <v>1471</v>
      </c>
      <c r="E2381" s="133"/>
      <c r="F2381" s="35">
        <v>74077</v>
      </c>
    </row>
    <row r="2382" spans="1:6" s="4" customFormat="1" ht="12">
      <c r="A2382" s="106">
        <v>540806</v>
      </c>
      <c r="B2382" s="111" t="s">
        <v>213</v>
      </c>
      <c r="C2382" s="103" t="s">
        <v>1472</v>
      </c>
      <c r="D2382" s="111" t="s">
        <v>1473</v>
      </c>
      <c r="E2382" s="133"/>
      <c r="F2382" s="35">
        <v>37471</v>
      </c>
    </row>
    <row r="2383" spans="1:6" s="4" customFormat="1" ht="12">
      <c r="A2383" s="106">
        <v>540806</v>
      </c>
      <c r="B2383" s="111" t="s">
        <v>213</v>
      </c>
      <c r="C2383" s="103" t="s">
        <v>3135</v>
      </c>
      <c r="D2383" s="111" t="s">
        <v>1474</v>
      </c>
      <c r="E2383" s="133"/>
      <c r="F2383" s="35">
        <v>24382</v>
      </c>
    </row>
    <row r="2384" spans="1:6" s="4" customFormat="1" ht="12">
      <c r="A2384" s="106">
        <v>540806</v>
      </c>
      <c r="B2384" s="111" t="s">
        <v>213</v>
      </c>
      <c r="C2384" s="103" t="s">
        <v>3132</v>
      </c>
      <c r="D2384" s="111" t="s">
        <v>1475</v>
      </c>
      <c r="E2384" s="133"/>
      <c r="F2384" s="35">
        <v>48696</v>
      </c>
    </row>
    <row r="2385" spans="1:6" s="4" customFormat="1" ht="12">
      <c r="A2385" s="106">
        <v>540806</v>
      </c>
      <c r="B2385" s="111" t="s">
        <v>213</v>
      </c>
      <c r="C2385" s="103" t="s">
        <v>3418</v>
      </c>
      <c r="D2385" s="111" t="s">
        <v>1476</v>
      </c>
      <c r="E2385" s="133"/>
      <c r="F2385" s="35">
        <v>147608</v>
      </c>
    </row>
    <row r="2386" spans="1:6" s="4" customFormat="1" ht="12">
      <c r="A2386" s="106">
        <v>540806</v>
      </c>
      <c r="B2386" s="111" t="s">
        <v>213</v>
      </c>
      <c r="C2386" s="103" t="s">
        <v>3153</v>
      </c>
      <c r="D2386" s="111" t="s">
        <v>1477</v>
      </c>
      <c r="E2386" s="133"/>
      <c r="F2386" s="35">
        <v>74540</v>
      </c>
    </row>
    <row r="2387" spans="1:6" s="4" customFormat="1" ht="12">
      <c r="A2387" s="106">
        <v>540806</v>
      </c>
      <c r="B2387" s="111" t="s">
        <v>213</v>
      </c>
      <c r="C2387" s="103" t="s">
        <v>1478</v>
      </c>
      <c r="D2387" s="111" t="s">
        <v>1479</v>
      </c>
      <c r="E2387" s="133"/>
      <c r="F2387" s="35">
        <v>136813</v>
      </c>
    </row>
    <row r="2388" spans="1:6" s="4" customFormat="1" ht="12">
      <c r="A2388" s="106">
        <v>540806</v>
      </c>
      <c r="B2388" s="111" t="s">
        <v>213</v>
      </c>
      <c r="C2388" s="103" t="s">
        <v>3196</v>
      </c>
      <c r="D2388" s="111" t="s">
        <v>1480</v>
      </c>
      <c r="E2388" s="133"/>
      <c r="F2388" s="35">
        <v>130815</v>
      </c>
    </row>
    <row r="2389" spans="1:6" s="4" customFormat="1" ht="12">
      <c r="A2389" s="106">
        <v>540806</v>
      </c>
      <c r="B2389" s="111" t="s">
        <v>213</v>
      </c>
      <c r="C2389" s="103" t="s">
        <v>3207</v>
      </c>
      <c r="D2389" s="111" t="s">
        <v>1481</v>
      </c>
      <c r="E2389" s="133"/>
      <c r="F2389" s="35">
        <v>80295</v>
      </c>
    </row>
    <row r="2390" spans="1:6" s="4" customFormat="1" ht="12">
      <c r="A2390" s="106">
        <v>540806</v>
      </c>
      <c r="B2390" s="111" t="s">
        <v>213</v>
      </c>
      <c r="C2390" s="103" t="s">
        <v>3209</v>
      </c>
      <c r="D2390" s="111" t="s">
        <v>1482</v>
      </c>
      <c r="E2390" s="133"/>
      <c r="F2390" s="35">
        <v>82385</v>
      </c>
    </row>
    <row r="2391" spans="1:6" s="4" customFormat="1" ht="12">
      <c r="A2391" s="106">
        <v>540806</v>
      </c>
      <c r="B2391" s="111" t="s">
        <v>213</v>
      </c>
      <c r="C2391" s="103" t="s">
        <v>3211</v>
      </c>
      <c r="D2391" s="111" t="s">
        <v>1483</v>
      </c>
      <c r="E2391" s="133"/>
      <c r="F2391" s="35">
        <v>314075</v>
      </c>
    </row>
    <row r="2392" spans="1:6" s="4" customFormat="1" ht="12">
      <c r="A2392" s="106">
        <v>540806</v>
      </c>
      <c r="B2392" s="111" t="s">
        <v>213</v>
      </c>
      <c r="C2392" s="103">
        <v>217615476</v>
      </c>
      <c r="D2392" s="111" t="s">
        <v>1484</v>
      </c>
      <c r="E2392" s="133"/>
      <c r="F2392" s="35">
        <v>101742</v>
      </c>
    </row>
    <row r="2393" spans="1:6" s="4" customFormat="1" ht="12">
      <c r="A2393" s="106">
        <v>540806</v>
      </c>
      <c r="B2393" s="111" t="s">
        <v>213</v>
      </c>
      <c r="C2393" s="103" t="s">
        <v>3227</v>
      </c>
      <c r="D2393" s="111" t="s">
        <v>1485</v>
      </c>
      <c r="E2393" s="133"/>
      <c r="F2393" s="35">
        <v>157069</v>
      </c>
    </row>
    <row r="2394" spans="1:6" s="4" customFormat="1" ht="12">
      <c r="A2394" s="106">
        <v>540806</v>
      </c>
      <c r="B2394" s="111" t="s">
        <v>213</v>
      </c>
      <c r="C2394" s="103" t="s">
        <v>545</v>
      </c>
      <c r="D2394" s="111" t="s">
        <v>1486</v>
      </c>
      <c r="E2394" s="133"/>
      <c r="F2394" s="35">
        <v>180221</v>
      </c>
    </row>
    <row r="2395" spans="1:6" s="4" customFormat="1" ht="12">
      <c r="A2395" s="106">
        <v>540806</v>
      </c>
      <c r="B2395" s="111" t="s">
        <v>213</v>
      </c>
      <c r="C2395" s="103" t="s">
        <v>550</v>
      </c>
      <c r="D2395" s="111" t="s">
        <v>1487</v>
      </c>
      <c r="E2395" s="133"/>
      <c r="F2395" s="35">
        <v>79770</v>
      </c>
    </row>
    <row r="2396" spans="1:6" s="4" customFormat="1" ht="12">
      <c r="A2396" s="106">
        <v>540806</v>
      </c>
      <c r="B2396" s="111" t="s">
        <v>213</v>
      </c>
      <c r="C2396" s="103" t="s">
        <v>558</v>
      </c>
      <c r="D2396" s="111" t="s">
        <v>1488</v>
      </c>
      <c r="E2396" s="133"/>
      <c r="F2396" s="35">
        <v>42489</v>
      </c>
    </row>
    <row r="2397" spans="1:6" s="4" customFormat="1" ht="12">
      <c r="A2397" s="106">
        <v>540806</v>
      </c>
      <c r="B2397" s="111" t="s">
        <v>213</v>
      </c>
      <c r="C2397" s="103" t="s">
        <v>568</v>
      </c>
      <c r="D2397" s="111" t="s">
        <v>1489</v>
      </c>
      <c r="E2397" s="133"/>
      <c r="F2397" s="35">
        <v>152746</v>
      </c>
    </row>
    <row r="2398" spans="1:6" s="4" customFormat="1" ht="12">
      <c r="A2398" s="106">
        <v>540806</v>
      </c>
      <c r="B2398" s="111" t="s">
        <v>213</v>
      </c>
      <c r="C2398" s="103" t="s">
        <v>571</v>
      </c>
      <c r="D2398" s="111" t="s">
        <v>1490</v>
      </c>
      <c r="E2398" s="133"/>
      <c r="F2398" s="35">
        <v>39283</v>
      </c>
    </row>
    <row r="2399" spans="1:6" s="4" customFormat="1" ht="12">
      <c r="A2399" s="106">
        <v>540806</v>
      </c>
      <c r="B2399" s="111" t="s">
        <v>213</v>
      </c>
      <c r="C2399" s="103">
        <v>211415514</v>
      </c>
      <c r="D2399" s="111" t="s">
        <v>1491</v>
      </c>
      <c r="E2399" s="133"/>
      <c r="F2399" s="35">
        <v>47490</v>
      </c>
    </row>
    <row r="2400" spans="1:6" s="4" customFormat="1" ht="12">
      <c r="A2400" s="106">
        <v>540806</v>
      </c>
      <c r="B2400" s="111" t="s">
        <v>213</v>
      </c>
      <c r="C2400" s="103" t="s">
        <v>579</v>
      </c>
      <c r="D2400" s="111" t="s">
        <v>1492</v>
      </c>
      <c r="E2400" s="133"/>
      <c r="F2400" s="35">
        <v>364137</v>
      </c>
    </row>
    <row r="2401" spans="1:6" s="4" customFormat="1" ht="12">
      <c r="A2401" s="106">
        <v>540806</v>
      </c>
      <c r="B2401" s="111" t="s">
        <v>213</v>
      </c>
      <c r="C2401" s="103" t="s">
        <v>581</v>
      </c>
      <c r="D2401" s="111" t="s">
        <v>1493</v>
      </c>
      <c r="E2401" s="133"/>
      <c r="F2401" s="35">
        <v>66650</v>
      </c>
    </row>
    <row r="2402" spans="1:6" s="4" customFormat="1" ht="12">
      <c r="A2402" s="106">
        <v>540806</v>
      </c>
      <c r="B2402" s="111" t="s">
        <v>213</v>
      </c>
      <c r="C2402" s="103">
        <v>212215522</v>
      </c>
      <c r="D2402" s="111" t="s">
        <v>1494</v>
      </c>
      <c r="E2402" s="133"/>
      <c r="F2402" s="35">
        <v>32832</v>
      </c>
    </row>
    <row r="2403" spans="1:6" s="4" customFormat="1" ht="12">
      <c r="A2403" s="106">
        <v>540806</v>
      </c>
      <c r="B2403" s="111" t="s">
        <v>213</v>
      </c>
      <c r="C2403" s="103" t="s">
        <v>606</v>
      </c>
      <c r="D2403" s="111" t="s">
        <v>1495</v>
      </c>
      <c r="E2403" s="133"/>
      <c r="F2403" s="35">
        <v>135676</v>
      </c>
    </row>
    <row r="2404" spans="1:6" s="4" customFormat="1" ht="12">
      <c r="A2404" s="106">
        <v>540806</v>
      </c>
      <c r="B2404" s="111" t="s">
        <v>213</v>
      </c>
      <c r="C2404" s="103" t="s">
        <v>608</v>
      </c>
      <c r="D2404" s="111" t="s">
        <v>1496</v>
      </c>
      <c r="E2404" s="133"/>
      <c r="F2404" s="35">
        <v>55521</v>
      </c>
    </row>
    <row r="2405" spans="1:6" s="4" customFormat="1" ht="12">
      <c r="A2405" s="106">
        <v>540806</v>
      </c>
      <c r="B2405" s="111" t="s">
        <v>213</v>
      </c>
      <c r="C2405" s="103" t="s">
        <v>611</v>
      </c>
      <c r="D2405" s="111" t="s">
        <v>1497</v>
      </c>
      <c r="E2405" s="133"/>
      <c r="F2405" s="35">
        <v>70971</v>
      </c>
    </row>
    <row r="2406" spans="1:6" s="4" customFormat="1" ht="12">
      <c r="A2406" s="106">
        <v>540806</v>
      </c>
      <c r="B2406" s="111" t="s">
        <v>213</v>
      </c>
      <c r="C2406" s="103" t="s">
        <v>618</v>
      </c>
      <c r="D2406" s="111" t="s">
        <v>1498</v>
      </c>
      <c r="E2406" s="133"/>
      <c r="F2406" s="35">
        <v>113877</v>
      </c>
    </row>
    <row r="2407" spans="1:6" s="4" customFormat="1" ht="12">
      <c r="A2407" s="106">
        <v>540806</v>
      </c>
      <c r="B2407" s="111" t="s">
        <v>213</v>
      </c>
      <c r="C2407" s="103" t="s">
        <v>628</v>
      </c>
      <c r="D2407" s="111" t="s">
        <v>1499</v>
      </c>
      <c r="E2407" s="133"/>
      <c r="F2407" s="35">
        <v>36103</v>
      </c>
    </row>
    <row r="2408" spans="1:6" s="4" customFormat="1" ht="12">
      <c r="A2408" s="106">
        <v>540806</v>
      </c>
      <c r="B2408" s="111" t="s">
        <v>213</v>
      </c>
      <c r="C2408" s="103" t="s">
        <v>651</v>
      </c>
      <c r="D2408" s="111" t="s">
        <v>1500</v>
      </c>
      <c r="E2408" s="133"/>
      <c r="F2408" s="35">
        <v>625509</v>
      </c>
    </row>
    <row r="2409" spans="1:6" s="4" customFormat="1" ht="12">
      <c r="A2409" s="106">
        <v>540806</v>
      </c>
      <c r="B2409" s="111" t="s">
        <v>213</v>
      </c>
      <c r="C2409" s="103">
        <v>218015580</v>
      </c>
      <c r="D2409" s="111" t="s">
        <v>1501</v>
      </c>
      <c r="E2409" s="133"/>
      <c r="F2409" s="35">
        <v>161635</v>
      </c>
    </row>
    <row r="2410" spans="1:6" s="4" customFormat="1" ht="12">
      <c r="A2410" s="106">
        <v>540806</v>
      </c>
      <c r="B2410" s="111" t="s">
        <v>213</v>
      </c>
      <c r="C2410" s="103" t="s">
        <v>685</v>
      </c>
      <c r="D2410" s="111" t="s">
        <v>1502</v>
      </c>
      <c r="E2410" s="133"/>
      <c r="F2410" s="35">
        <v>145069</v>
      </c>
    </row>
    <row r="2411" spans="1:6" s="4" customFormat="1" ht="12">
      <c r="A2411" s="106">
        <v>540806</v>
      </c>
      <c r="B2411" s="111" t="s">
        <v>213</v>
      </c>
      <c r="C2411" s="103">
        <v>210015600</v>
      </c>
      <c r="D2411" s="111" t="s">
        <v>1503</v>
      </c>
      <c r="E2411" s="133"/>
      <c r="F2411" s="35">
        <v>93184</v>
      </c>
    </row>
    <row r="2412" spans="1:6" s="4" customFormat="1" ht="12">
      <c r="A2412" s="106">
        <v>540806</v>
      </c>
      <c r="B2412" s="111" t="s">
        <v>213</v>
      </c>
      <c r="C2412" s="103" t="s">
        <v>710</v>
      </c>
      <c r="D2412" s="111" t="s">
        <v>1504</v>
      </c>
      <c r="E2412" s="133"/>
      <c r="F2412" s="35">
        <v>41282</v>
      </c>
    </row>
    <row r="2413" spans="1:6" s="4" customFormat="1" ht="12">
      <c r="A2413" s="106">
        <v>540806</v>
      </c>
      <c r="B2413" s="111" t="s">
        <v>213</v>
      </c>
      <c r="C2413" s="103" t="s">
        <v>724</v>
      </c>
      <c r="D2413" s="111" t="s">
        <v>1505</v>
      </c>
      <c r="E2413" s="133"/>
      <c r="F2413" s="35">
        <v>208451</v>
      </c>
    </row>
    <row r="2414" spans="1:6" s="4" customFormat="1" ht="12">
      <c r="A2414" s="106">
        <v>540806</v>
      </c>
      <c r="B2414" s="111" t="s">
        <v>213</v>
      </c>
      <c r="C2414" s="103" t="s">
        <v>727</v>
      </c>
      <c r="D2414" s="111" t="s">
        <v>1506</v>
      </c>
      <c r="E2414" s="133"/>
      <c r="F2414" s="35">
        <v>66647</v>
      </c>
    </row>
    <row r="2415" spans="1:6" s="4" customFormat="1" ht="12">
      <c r="A2415" s="106">
        <v>540806</v>
      </c>
      <c r="B2415" s="111" t="s">
        <v>213</v>
      </c>
      <c r="C2415" s="103" t="s">
        <v>739</v>
      </c>
      <c r="D2415" s="111" t="s">
        <v>1507</v>
      </c>
      <c r="E2415" s="133"/>
      <c r="F2415" s="35">
        <v>228476</v>
      </c>
    </row>
    <row r="2416" spans="1:6" s="4" customFormat="1" ht="12">
      <c r="A2416" s="106">
        <v>540806</v>
      </c>
      <c r="B2416" s="111" t="s">
        <v>213</v>
      </c>
      <c r="C2416" s="103" t="s">
        <v>762</v>
      </c>
      <c r="D2416" s="111" t="s">
        <v>1508</v>
      </c>
      <c r="E2416" s="133"/>
      <c r="F2416" s="35">
        <v>49428</v>
      </c>
    </row>
    <row r="2417" spans="1:6" s="4" customFormat="1" ht="12">
      <c r="A2417" s="106">
        <v>540806</v>
      </c>
      <c r="B2417" s="111" t="s">
        <v>213</v>
      </c>
      <c r="C2417" s="103" t="s">
        <v>776</v>
      </c>
      <c r="D2417" s="111" t="s">
        <v>1509</v>
      </c>
      <c r="E2417" s="133"/>
      <c r="F2417" s="35">
        <v>78849</v>
      </c>
    </row>
    <row r="2418" spans="1:6" s="4" customFormat="1" ht="12">
      <c r="A2418" s="106">
        <v>540806</v>
      </c>
      <c r="B2418" s="111" t="s">
        <v>213</v>
      </c>
      <c r="C2418" s="103" t="s">
        <v>1510</v>
      </c>
      <c r="D2418" s="111" t="s">
        <v>1511</v>
      </c>
      <c r="E2418" s="133"/>
      <c r="F2418" s="35">
        <v>85279</v>
      </c>
    </row>
    <row r="2419" spans="1:6" s="4" customFormat="1" ht="12">
      <c r="A2419" s="106">
        <v>540806</v>
      </c>
      <c r="B2419" s="111" t="s">
        <v>213</v>
      </c>
      <c r="C2419" s="103" t="s">
        <v>789</v>
      </c>
      <c r="D2419" s="111" t="s">
        <v>1512</v>
      </c>
      <c r="E2419" s="133"/>
      <c r="F2419" s="35">
        <v>77661</v>
      </c>
    </row>
    <row r="2420" spans="1:6" s="4" customFormat="1" ht="12">
      <c r="A2420" s="106">
        <v>540806</v>
      </c>
      <c r="B2420" s="111" t="s">
        <v>213</v>
      </c>
      <c r="C2420" s="103">
        <v>217615676</v>
      </c>
      <c r="D2420" s="111" t="s">
        <v>1513</v>
      </c>
      <c r="E2420" s="133"/>
      <c r="F2420" s="35">
        <v>62959</v>
      </c>
    </row>
    <row r="2421" spans="1:6" s="4" customFormat="1" ht="12">
      <c r="A2421" s="106">
        <v>540806</v>
      </c>
      <c r="B2421" s="111" t="s">
        <v>213</v>
      </c>
      <c r="C2421" s="103">
        <v>218115681</v>
      </c>
      <c r="D2421" s="111" t="s">
        <v>1514</v>
      </c>
      <c r="E2421" s="133"/>
      <c r="F2421" s="35">
        <v>147411</v>
      </c>
    </row>
    <row r="2422" spans="1:6" s="4" customFormat="1" ht="12">
      <c r="A2422" s="106">
        <v>540806</v>
      </c>
      <c r="B2422" s="111" t="s">
        <v>213</v>
      </c>
      <c r="C2422" s="103">
        <v>218615686</v>
      </c>
      <c r="D2422" s="111" t="s">
        <v>1515</v>
      </c>
      <c r="E2422" s="133"/>
      <c r="F2422" s="35">
        <v>125663</v>
      </c>
    </row>
    <row r="2423" spans="1:6" s="4" customFormat="1" ht="12">
      <c r="A2423" s="106">
        <v>540806</v>
      </c>
      <c r="B2423" s="111" t="s">
        <v>213</v>
      </c>
      <c r="C2423" s="103">
        <v>219015690</v>
      </c>
      <c r="D2423" s="111" t="s">
        <v>1516</v>
      </c>
      <c r="E2423" s="133"/>
      <c r="F2423" s="35">
        <v>73935</v>
      </c>
    </row>
    <row r="2424" spans="1:6" s="4" customFormat="1" ht="12">
      <c r="A2424" s="106">
        <v>540806</v>
      </c>
      <c r="B2424" s="111" t="s">
        <v>213</v>
      </c>
      <c r="C2424" s="103">
        <v>219315693</v>
      </c>
      <c r="D2424" s="111" t="s">
        <v>1517</v>
      </c>
      <c r="E2424" s="133"/>
      <c r="F2424" s="35">
        <v>140532</v>
      </c>
    </row>
    <row r="2425" spans="1:6" s="4" customFormat="1" ht="12">
      <c r="A2425" s="106">
        <v>540806</v>
      </c>
      <c r="B2425" s="111" t="s">
        <v>213</v>
      </c>
      <c r="C2425" s="103">
        <v>219615696</v>
      </c>
      <c r="D2425" s="111" t="s">
        <v>1518</v>
      </c>
      <c r="E2425" s="133"/>
      <c r="F2425" s="35">
        <v>46734</v>
      </c>
    </row>
    <row r="2426" spans="1:6" s="4" customFormat="1" ht="12">
      <c r="A2426" s="106">
        <v>540806</v>
      </c>
      <c r="B2426" s="111" t="s">
        <v>213</v>
      </c>
      <c r="C2426" s="103">
        <v>212015720</v>
      </c>
      <c r="D2426" s="111" t="s">
        <v>1519</v>
      </c>
      <c r="E2426" s="133"/>
      <c r="F2426" s="35">
        <v>36483</v>
      </c>
    </row>
    <row r="2427" spans="1:6" s="4" customFormat="1" ht="12">
      <c r="A2427" s="106">
        <v>540806</v>
      </c>
      <c r="B2427" s="111" t="s">
        <v>213</v>
      </c>
      <c r="C2427" s="103">
        <v>212315723</v>
      </c>
      <c r="D2427" s="111" t="s">
        <v>1520</v>
      </c>
      <c r="E2427" s="133"/>
      <c r="F2427" s="35">
        <v>20208</v>
      </c>
    </row>
    <row r="2428" spans="1:6" s="4" customFormat="1" ht="12">
      <c r="A2428" s="106">
        <v>540806</v>
      </c>
      <c r="B2428" s="111" t="s">
        <v>213</v>
      </c>
      <c r="C2428" s="103">
        <v>214015740</v>
      </c>
      <c r="D2428" s="111" t="s">
        <v>1521</v>
      </c>
      <c r="E2428" s="133"/>
      <c r="F2428" s="35">
        <v>127627</v>
      </c>
    </row>
    <row r="2429" spans="1:6" s="4" customFormat="1" ht="12">
      <c r="A2429" s="106">
        <v>540806</v>
      </c>
      <c r="B2429" s="111" t="s">
        <v>213</v>
      </c>
      <c r="C2429" s="103">
        <v>215315753</v>
      </c>
      <c r="D2429" s="111" t="s">
        <v>1522</v>
      </c>
      <c r="E2429" s="133"/>
      <c r="F2429" s="35">
        <v>149684</v>
      </c>
    </row>
    <row r="2430" spans="1:6" s="4" customFormat="1" ht="12">
      <c r="A2430" s="106">
        <v>540806</v>
      </c>
      <c r="B2430" s="111" t="s">
        <v>213</v>
      </c>
      <c r="C2430" s="103">
        <v>215515755</v>
      </c>
      <c r="D2430" s="111" t="s">
        <v>1523</v>
      </c>
      <c r="E2430" s="133"/>
      <c r="F2430" s="35">
        <v>133340</v>
      </c>
    </row>
    <row r="2431" spans="1:6" s="4" customFormat="1" ht="12">
      <c r="A2431" s="106">
        <v>540806</v>
      </c>
      <c r="B2431" s="111" t="s">
        <v>213</v>
      </c>
      <c r="C2431" s="103">
        <v>215715757</v>
      </c>
      <c r="D2431" s="111" t="s">
        <v>1524</v>
      </c>
      <c r="E2431" s="133"/>
      <c r="F2431" s="35">
        <v>112746</v>
      </c>
    </row>
    <row r="2432" spans="1:6" s="4" customFormat="1" ht="12">
      <c r="A2432" s="106">
        <v>540806</v>
      </c>
      <c r="B2432" s="111" t="s">
        <v>213</v>
      </c>
      <c r="C2432" s="103">
        <v>216115761</v>
      </c>
      <c r="D2432" s="111" t="s">
        <v>1525</v>
      </c>
      <c r="E2432" s="133"/>
      <c r="F2432" s="35">
        <v>60697</v>
      </c>
    </row>
    <row r="2433" spans="1:6" s="4" customFormat="1" ht="12">
      <c r="A2433" s="106">
        <v>540806</v>
      </c>
      <c r="B2433" s="111" t="s">
        <v>213</v>
      </c>
      <c r="C2433" s="103">
        <v>216215762</v>
      </c>
      <c r="D2433" s="111" t="s">
        <v>1526</v>
      </c>
      <c r="E2433" s="133"/>
      <c r="F2433" s="35">
        <v>53672</v>
      </c>
    </row>
    <row r="2434" spans="1:6" s="4" customFormat="1" ht="12">
      <c r="A2434" s="106">
        <v>540806</v>
      </c>
      <c r="B2434" s="111" t="s">
        <v>213</v>
      </c>
      <c r="C2434" s="103">
        <v>216315763</v>
      </c>
      <c r="D2434" s="111" t="s">
        <v>1527</v>
      </c>
      <c r="E2434" s="133"/>
      <c r="F2434" s="35">
        <v>109398</v>
      </c>
    </row>
    <row r="2435" spans="1:6" s="4" customFormat="1" ht="12">
      <c r="A2435" s="106">
        <v>540806</v>
      </c>
      <c r="B2435" s="111" t="s">
        <v>213</v>
      </c>
      <c r="C2435" s="103">
        <v>216415764</v>
      </c>
      <c r="D2435" s="111" t="s">
        <v>1528</v>
      </c>
      <c r="E2435" s="133"/>
      <c r="F2435" s="35">
        <v>97600</v>
      </c>
    </row>
    <row r="2436" spans="1:6" s="4" customFormat="1" ht="12">
      <c r="A2436" s="106">
        <v>540806</v>
      </c>
      <c r="B2436" s="111" t="s">
        <v>213</v>
      </c>
      <c r="C2436" s="103">
        <v>217415774</v>
      </c>
      <c r="D2436" s="111" t="s">
        <v>1529</v>
      </c>
      <c r="E2436" s="133"/>
      <c r="F2436" s="35">
        <v>50475</v>
      </c>
    </row>
    <row r="2437" spans="1:6" s="4" customFormat="1" ht="12">
      <c r="A2437" s="106">
        <v>540806</v>
      </c>
      <c r="B2437" s="111" t="s">
        <v>213</v>
      </c>
      <c r="C2437" s="103">
        <v>217615776</v>
      </c>
      <c r="D2437" s="111" t="s">
        <v>1530</v>
      </c>
      <c r="E2437" s="133"/>
      <c r="F2437" s="35">
        <v>71279</v>
      </c>
    </row>
    <row r="2438" spans="1:6" s="4" customFormat="1" ht="12">
      <c r="A2438" s="106">
        <v>540806</v>
      </c>
      <c r="B2438" s="111" t="s">
        <v>213</v>
      </c>
      <c r="C2438" s="103">
        <v>217815778</v>
      </c>
      <c r="D2438" s="111" t="s">
        <v>1531</v>
      </c>
      <c r="E2438" s="133"/>
      <c r="F2438" s="35">
        <v>61636</v>
      </c>
    </row>
    <row r="2439" spans="1:6" s="4" customFormat="1" ht="12">
      <c r="A2439" s="106">
        <v>540806</v>
      </c>
      <c r="B2439" s="111" t="s">
        <v>213</v>
      </c>
      <c r="C2439" s="103">
        <v>219015790</v>
      </c>
      <c r="D2439" s="111" t="s">
        <v>1532</v>
      </c>
      <c r="E2439" s="133"/>
      <c r="F2439" s="35">
        <v>84139</v>
      </c>
    </row>
    <row r="2440" spans="1:6" s="4" customFormat="1" ht="12">
      <c r="A2440" s="106">
        <v>540806</v>
      </c>
      <c r="B2440" s="111" t="s">
        <v>213</v>
      </c>
      <c r="C2440" s="103">
        <v>219815798</v>
      </c>
      <c r="D2440" s="111" t="s">
        <v>1533</v>
      </c>
      <c r="E2440" s="133"/>
      <c r="F2440" s="35">
        <v>59890</v>
      </c>
    </row>
    <row r="2441" spans="1:6" s="4" customFormat="1" ht="12">
      <c r="A2441" s="106">
        <v>540806</v>
      </c>
      <c r="B2441" s="111" t="s">
        <v>213</v>
      </c>
      <c r="C2441" s="103">
        <v>210415804</v>
      </c>
      <c r="D2441" s="111" t="s">
        <v>1534</v>
      </c>
      <c r="E2441" s="133"/>
      <c r="F2441" s="35">
        <v>122402</v>
      </c>
    </row>
    <row r="2442" spans="1:6" s="4" customFormat="1" ht="12">
      <c r="A2442" s="106">
        <v>540806</v>
      </c>
      <c r="B2442" s="111" t="s">
        <v>213</v>
      </c>
      <c r="C2442" s="103">
        <v>210615806</v>
      </c>
      <c r="D2442" s="111" t="s">
        <v>1535</v>
      </c>
      <c r="E2442" s="133"/>
      <c r="F2442" s="35">
        <v>158502</v>
      </c>
    </row>
    <row r="2443" spans="1:6" s="4" customFormat="1" ht="12">
      <c r="A2443" s="106">
        <v>540806</v>
      </c>
      <c r="B2443" s="111" t="s">
        <v>213</v>
      </c>
      <c r="C2443" s="103">
        <v>210815808</v>
      </c>
      <c r="D2443" s="111" t="s">
        <v>1536</v>
      </c>
      <c r="E2443" s="133"/>
      <c r="F2443" s="35">
        <v>44603</v>
      </c>
    </row>
    <row r="2444" spans="1:6" s="4" customFormat="1" ht="12">
      <c r="A2444" s="106">
        <v>540806</v>
      </c>
      <c r="B2444" s="111" t="s">
        <v>213</v>
      </c>
      <c r="C2444" s="103">
        <v>211015810</v>
      </c>
      <c r="D2444" s="111" t="s">
        <v>1537</v>
      </c>
      <c r="E2444" s="133"/>
      <c r="F2444" s="35">
        <v>54460</v>
      </c>
    </row>
    <row r="2445" spans="1:6" s="4" customFormat="1" ht="12">
      <c r="A2445" s="106">
        <v>540806</v>
      </c>
      <c r="B2445" s="111" t="s">
        <v>213</v>
      </c>
      <c r="C2445" s="103">
        <v>211415814</v>
      </c>
      <c r="D2445" s="111" t="s">
        <v>1538</v>
      </c>
      <c r="E2445" s="133"/>
      <c r="F2445" s="35">
        <v>134566</v>
      </c>
    </row>
    <row r="2446" spans="1:6" s="4" customFormat="1" ht="12">
      <c r="A2446" s="106">
        <v>540806</v>
      </c>
      <c r="B2446" s="111" t="s">
        <v>213</v>
      </c>
      <c r="C2446" s="103">
        <v>211615816</v>
      </c>
      <c r="D2446" s="111" t="s">
        <v>1539</v>
      </c>
      <c r="E2446" s="133"/>
      <c r="F2446" s="35">
        <v>82265</v>
      </c>
    </row>
    <row r="2447" spans="1:6" s="4" customFormat="1" ht="12">
      <c r="A2447" s="106">
        <v>540806</v>
      </c>
      <c r="B2447" s="111" t="s">
        <v>213</v>
      </c>
      <c r="C2447" s="103">
        <v>212015820</v>
      </c>
      <c r="D2447" s="111" t="s">
        <v>1540</v>
      </c>
      <c r="E2447" s="133"/>
      <c r="F2447" s="35">
        <v>60884</v>
      </c>
    </row>
    <row r="2448" spans="1:6" s="4" customFormat="1" ht="12">
      <c r="A2448" s="106">
        <v>540806</v>
      </c>
      <c r="B2448" s="111" t="s">
        <v>213</v>
      </c>
      <c r="C2448" s="103">
        <v>212215822</v>
      </c>
      <c r="D2448" s="111" t="s">
        <v>1541</v>
      </c>
      <c r="E2448" s="133"/>
      <c r="F2448" s="35">
        <v>81984</v>
      </c>
    </row>
    <row r="2449" spans="1:6" s="4" customFormat="1" ht="12">
      <c r="A2449" s="106">
        <v>540806</v>
      </c>
      <c r="B2449" s="111" t="s">
        <v>213</v>
      </c>
      <c r="C2449" s="103">
        <v>213215832</v>
      </c>
      <c r="D2449" s="111" t="s">
        <v>1542</v>
      </c>
      <c r="E2449" s="133"/>
      <c r="F2449" s="35">
        <v>32282</v>
      </c>
    </row>
    <row r="2450" spans="1:6" s="4" customFormat="1" ht="12">
      <c r="A2450" s="106">
        <v>540806</v>
      </c>
      <c r="B2450" s="111" t="s">
        <v>213</v>
      </c>
      <c r="C2450" s="103">
        <v>213515835</v>
      </c>
      <c r="D2450" s="111" t="s">
        <v>1543</v>
      </c>
      <c r="E2450" s="133"/>
      <c r="F2450" s="35">
        <v>104813</v>
      </c>
    </row>
    <row r="2451" spans="1:6" s="4" customFormat="1" ht="12">
      <c r="A2451" s="106">
        <v>540806</v>
      </c>
      <c r="B2451" s="111" t="s">
        <v>213</v>
      </c>
      <c r="C2451" s="103">
        <v>213715837</v>
      </c>
      <c r="D2451" s="111" t="s">
        <v>1544</v>
      </c>
      <c r="E2451" s="133"/>
      <c r="F2451" s="35">
        <v>135954</v>
      </c>
    </row>
    <row r="2452" spans="1:6" s="4" customFormat="1" ht="12">
      <c r="A2452" s="106">
        <v>540806</v>
      </c>
      <c r="B2452" s="111" t="s">
        <v>213</v>
      </c>
      <c r="C2452" s="103">
        <v>213915839</v>
      </c>
      <c r="D2452" s="111" t="s">
        <v>1545</v>
      </c>
      <c r="E2452" s="133"/>
      <c r="F2452" s="35">
        <v>45879</v>
      </c>
    </row>
    <row r="2453" spans="1:6" s="4" customFormat="1" ht="12">
      <c r="A2453" s="106">
        <v>540806</v>
      </c>
      <c r="B2453" s="111" t="s">
        <v>213</v>
      </c>
      <c r="C2453" s="103">
        <v>214215842</v>
      </c>
      <c r="D2453" s="111" t="s">
        <v>1546</v>
      </c>
      <c r="E2453" s="133"/>
      <c r="F2453" s="35">
        <v>121446</v>
      </c>
    </row>
    <row r="2454" spans="1:6" s="4" customFormat="1" ht="12">
      <c r="A2454" s="106">
        <v>540806</v>
      </c>
      <c r="B2454" s="111" t="s">
        <v>213</v>
      </c>
      <c r="C2454" s="103">
        <v>216115861</v>
      </c>
      <c r="D2454" s="111" t="s">
        <v>1547</v>
      </c>
      <c r="E2454" s="133"/>
      <c r="F2454" s="35">
        <v>210669</v>
      </c>
    </row>
    <row r="2455" spans="1:6" s="4" customFormat="1" ht="12">
      <c r="A2455" s="106">
        <v>540806</v>
      </c>
      <c r="B2455" s="111" t="s">
        <v>213</v>
      </c>
      <c r="C2455" s="103">
        <v>217915879</v>
      </c>
      <c r="D2455" s="111" t="s">
        <v>1548</v>
      </c>
      <c r="E2455" s="133"/>
      <c r="F2455" s="35">
        <v>61422</v>
      </c>
    </row>
    <row r="2456" spans="1:6" s="4" customFormat="1" ht="12">
      <c r="A2456" s="106">
        <v>540806</v>
      </c>
      <c r="B2456" s="111" t="s">
        <v>213</v>
      </c>
      <c r="C2456" s="103">
        <v>219715897</v>
      </c>
      <c r="D2456" s="111" t="s">
        <v>1549</v>
      </c>
      <c r="E2456" s="133"/>
      <c r="F2456" s="35">
        <v>95291</v>
      </c>
    </row>
    <row r="2457" spans="1:6" s="4" customFormat="1" ht="12">
      <c r="A2457" s="106">
        <v>540806</v>
      </c>
      <c r="B2457" s="111" t="s">
        <v>213</v>
      </c>
      <c r="C2457" s="103" t="s">
        <v>1550</v>
      </c>
      <c r="D2457" s="111" t="s">
        <v>1551</v>
      </c>
      <c r="E2457" s="133"/>
      <c r="F2457" s="35">
        <v>334817</v>
      </c>
    </row>
    <row r="2458" spans="1:6" s="4" customFormat="1" ht="12">
      <c r="A2458" s="106">
        <v>540806</v>
      </c>
      <c r="B2458" s="111" t="s">
        <v>213</v>
      </c>
      <c r="C2458" s="103">
        <v>214217042</v>
      </c>
      <c r="D2458" s="111" t="s">
        <v>1552</v>
      </c>
      <c r="E2458" s="133"/>
      <c r="F2458" s="35">
        <v>500573</v>
      </c>
    </row>
    <row r="2459" spans="1:6" s="4" customFormat="1" ht="12">
      <c r="A2459" s="106">
        <v>540806</v>
      </c>
      <c r="B2459" s="111" t="s">
        <v>213</v>
      </c>
      <c r="C2459" s="103">
        <v>215017050</v>
      </c>
      <c r="D2459" s="111" t="s">
        <v>1553</v>
      </c>
      <c r="E2459" s="133"/>
      <c r="F2459" s="35">
        <v>217398</v>
      </c>
    </row>
    <row r="2460" spans="1:6" s="4" customFormat="1" ht="12">
      <c r="A2460" s="106">
        <v>540806</v>
      </c>
      <c r="B2460" s="111" t="s">
        <v>213</v>
      </c>
      <c r="C2460" s="103">
        <v>218817088</v>
      </c>
      <c r="D2460" s="111" t="s">
        <v>1554</v>
      </c>
      <c r="E2460" s="133"/>
      <c r="F2460" s="35">
        <v>163643</v>
      </c>
    </row>
    <row r="2461" spans="1:6" s="4" customFormat="1" ht="12">
      <c r="A2461" s="106">
        <v>540806</v>
      </c>
      <c r="B2461" s="111" t="s">
        <v>213</v>
      </c>
      <c r="C2461" s="103">
        <v>217417174</v>
      </c>
      <c r="D2461" s="111" t="s">
        <v>1555</v>
      </c>
      <c r="E2461" s="133"/>
      <c r="F2461" s="35">
        <v>631311</v>
      </c>
    </row>
    <row r="2462" spans="1:6" s="4" customFormat="1" ht="12">
      <c r="A2462" s="106">
        <v>540806</v>
      </c>
      <c r="B2462" s="111" t="s">
        <v>213</v>
      </c>
      <c r="C2462" s="103">
        <v>217217272</v>
      </c>
      <c r="D2462" s="111" t="s">
        <v>1556</v>
      </c>
      <c r="E2462" s="133"/>
      <c r="F2462" s="35">
        <v>201293</v>
      </c>
    </row>
    <row r="2463" spans="1:6" s="4" customFormat="1" ht="12">
      <c r="A2463" s="106">
        <v>540806</v>
      </c>
      <c r="B2463" s="111" t="s">
        <v>213</v>
      </c>
      <c r="C2463" s="103">
        <v>218017380</v>
      </c>
      <c r="D2463" s="111" t="s">
        <v>1557</v>
      </c>
      <c r="E2463" s="133"/>
      <c r="F2463" s="35">
        <v>899359</v>
      </c>
    </row>
    <row r="2464" spans="1:6" s="4" customFormat="1" ht="12">
      <c r="A2464" s="106">
        <v>540806</v>
      </c>
      <c r="B2464" s="111" t="s">
        <v>213</v>
      </c>
      <c r="C2464" s="103">
        <v>218817388</v>
      </c>
      <c r="D2464" s="111" t="s">
        <v>1558</v>
      </c>
      <c r="E2464" s="133"/>
      <c r="F2464" s="35">
        <v>180954</v>
      </c>
    </row>
    <row r="2465" spans="1:6" s="4" customFormat="1" ht="12">
      <c r="A2465" s="106">
        <v>540806</v>
      </c>
      <c r="B2465" s="111" t="s">
        <v>213</v>
      </c>
      <c r="C2465" s="103">
        <v>213317433</v>
      </c>
      <c r="D2465" s="111" t="s">
        <v>1559</v>
      </c>
      <c r="E2465" s="133"/>
      <c r="F2465" s="35">
        <v>258065</v>
      </c>
    </row>
    <row r="2466" spans="1:6" s="4" customFormat="1" ht="12">
      <c r="A2466" s="106">
        <v>540806</v>
      </c>
      <c r="B2466" s="111" t="s">
        <v>213</v>
      </c>
      <c r="C2466" s="103">
        <v>214217442</v>
      </c>
      <c r="D2466" s="111" t="s">
        <v>1560</v>
      </c>
      <c r="E2466" s="133"/>
      <c r="F2466" s="35">
        <v>152981</v>
      </c>
    </row>
    <row r="2467" spans="1:6" s="4" customFormat="1" ht="12">
      <c r="A2467" s="106">
        <v>540806</v>
      </c>
      <c r="B2467" s="111" t="s">
        <v>213</v>
      </c>
      <c r="C2467" s="103">
        <v>214417444</v>
      </c>
      <c r="D2467" s="111" t="s">
        <v>1561</v>
      </c>
      <c r="E2467" s="133"/>
      <c r="F2467" s="35">
        <v>202864</v>
      </c>
    </row>
    <row r="2468" spans="1:6" s="4" customFormat="1" ht="12">
      <c r="A2468" s="106">
        <v>540806</v>
      </c>
      <c r="B2468" s="111" t="s">
        <v>213</v>
      </c>
      <c r="C2468" s="103">
        <v>214617446</v>
      </c>
      <c r="D2468" s="111" t="s">
        <v>1562</v>
      </c>
      <c r="E2468" s="133"/>
      <c r="F2468" s="35">
        <v>51989</v>
      </c>
    </row>
    <row r="2469" spans="1:6" s="4" customFormat="1" ht="12">
      <c r="A2469" s="106">
        <v>540806</v>
      </c>
      <c r="B2469" s="111" t="s">
        <v>213</v>
      </c>
      <c r="C2469" s="103">
        <v>218617486</v>
      </c>
      <c r="D2469" s="111" t="s">
        <v>1563</v>
      </c>
      <c r="E2469" s="133"/>
      <c r="F2469" s="35">
        <v>310530</v>
      </c>
    </row>
    <row r="2470" spans="1:6" s="4" customFormat="1" ht="12">
      <c r="A2470" s="106">
        <v>540806</v>
      </c>
      <c r="B2470" s="111" t="s">
        <v>213</v>
      </c>
      <c r="C2470" s="103">
        <v>219517495</v>
      </c>
      <c r="D2470" s="111" t="s">
        <v>1564</v>
      </c>
      <c r="E2470" s="133"/>
      <c r="F2470" s="35">
        <v>128323</v>
      </c>
    </row>
    <row r="2471" spans="1:6" s="4" customFormat="1" ht="12">
      <c r="A2471" s="106">
        <v>540806</v>
      </c>
      <c r="B2471" s="111" t="s">
        <v>213</v>
      </c>
      <c r="C2471" s="103">
        <v>211317513</v>
      </c>
      <c r="D2471" s="111" t="s">
        <v>1565</v>
      </c>
      <c r="E2471" s="133"/>
      <c r="F2471" s="35">
        <v>213744</v>
      </c>
    </row>
    <row r="2472" spans="1:6" s="4" customFormat="1" ht="12">
      <c r="A2472" s="106">
        <v>540806</v>
      </c>
      <c r="B2472" s="111" t="s">
        <v>213</v>
      </c>
      <c r="C2472" s="103">
        <v>212417524</v>
      </c>
      <c r="D2472" s="111" t="s">
        <v>1566</v>
      </c>
      <c r="E2472" s="133"/>
      <c r="F2472" s="35">
        <v>248574</v>
      </c>
    </row>
    <row r="2473" spans="1:6" s="4" customFormat="1" ht="12">
      <c r="A2473" s="106">
        <v>540806</v>
      </c>
      <c r="B2473" s="111" t="s">
        <v>213</v>
      </c>
      <c r="C2473" s="103">
        <v>214117541</v>
      </c>
      <c r="D2473" s="111" t="s">
        <v>1567</v>
      </c>
      <c r="E2473" s="133"/>
      <c r="F2473" s="35">
        <v>346485</v>
      </c>
    </row>
    <row r="2474" spans="1:6" s="4" customFormat="1" ht="12">
      <c r="A2474" s="106">
        <v>540806</v>
      </c>
      <c r="B2474" s="111" t="s">
        <v>213</v>
      </c>
      <c r="C2474" s="103">
        <v>211527615</v>
      </c>
      <c r="D2474" s="111" t="s">
        <v>1568</v>
      </c>
      <c r="E2474" s="133"/>
      <c r="F2474" s="35">
        <v>756356</v>
      </c>
    </row>
    <row r="2475" spans="1:6" s="4" customFormat="1" ht="12">
      <c r="A2475" s="106">
        <v>540806</v>
      </c>
      <c r="B2475" s="111" t="s">
        <v>213</v>
      </c>
      <c r="C2475" s="103">
        <v>211617616</v>
      </c>
      <c r="D2475" s="111" t="s">
        <v>1105</v>
      </c>
      <c r="E2475" s="133"/>
      <c r="F2475" s="35">
        <v>197627</v>
      </c>
    </row>
    <row r="2476" spans="1:6" s="4" customFormat="1" ht="12">
      <c r="A2476" s="106">
        <v>540806</v>
      </c>
      <c r="B2476" s="111" t="s">
        <v>213</v>
      </c>
      <c r="C2476" s="103">
        <v>215317653</v>
      </c>
      <c r="D2476" s="111" t="s">
        <v>1569</v>
      </c>
      <c r="E2476" s="133"/>
      <c r="F2476" s="35">
        <v>280890</v>
      </c>
    </row>
    <row r="2477" spans="1:6" s="4" customFormat="1" ht="12">
      <c r="A2477" s="106">
        <v>540806</v>
      </c>
      <c r="B2477" s="111" t="s">
        <v>213</v>
      </c>
      <c r="C2477" s="103">
        <v>216217662</v>
      </c>
      <c r="D2477" s="111" t="s">
        <v>1570</v>
      </c>
      <c r="E2477" s="133"/>
      <c r="F2477" s="35">
        <v>349992</v>
      </c>
    </row>
    <row r="2478" spans="1:6" s="4" customFormat="1" ht="12">
      <c r="A2478" s="106">
        <v>540806</v>
      </c>
      <c r="B2478" s="111" t="s">
        <v>213</v>
      </c>
      <c r="C2478" s="103">
        <v>216517665</v>
      </c>
      <c r="D2478" s="111" t="s">
        <v>1571</v>
      </c>
      <c r="E2478" s="133"/>
      <c r="F2478" s="35">
        <v>105601</v>
      </c>
    </row>
    <row r="2479" spans="1:6" s="4" customFormat="1" ht="12">
      <c r="A2479" s="106">
        <v>540806</v>
      </c>
      <c r="B2479" s="111" t="s">
        <v>213</v>
      </c>
      <c r="C2479" s="103">
        <v>217717777</v>
      </c>
      <c r="D2479" s="111" t="s">
        <v>1572</v>
      </c>
      <c r="E2479" s="133"/>
      <c r="F2479" s="35">
        <v>349029</v>
      </c>
    </row>
    <row r="2480" spans="1:6" s="4" customFormat="1" ht="12">
      <c r="A2480" s="106">
        <v>540806</v>
      </c>
      <c r="B2480" s="111" t="s">
        <v>213</v>
      </c>
      <c r="C2480" s="103">
        <v>216717867</v>
      </c>
      <c r="D2480" s="111" t="s">
        <v>1573</v>
      </c>
      <c r="E2480" s="133"/>
      <c r="F2480" s="35">
        <v>164424</v>
      </c>
    </row>
    <row r="2481" spans="1:6" s="4" customFormat="1" ht="12">
      <c r="A2481" s="106">
        <v>540806</v>
      </c>
      <c r="B2481" s="111" t="s">
        <v>213</v>
      </c>
      <c r="C2481" s="103">
        <v>217317873</v>
      </c>
      <c r="D2481" s="111" t="s">
        <v>1574</v>
      </c>
      <c r="E2481" s="133"/>
      <c r="F2481" s="35">
        <v>500587</v>
      </c>
    </row>
    <row r="2482" spans="1:6" s="4" customFormat="1" ht="12">
      <c r="A2482" s="106">
        <v>540806</v>
      </c>
      <c r="B2482" s="111" t="s">
        <v>213</v>
      </c>
      <c r="C2482" s="103">
        <v>217717877</v>
      </c>
      <c r="D2482" s="111" t="s">
        <v>1575</v>
      </c>
      <c r="E2482" s="133"/>
      <c r="F2482" s="35">
        <v>251446</v>
      </c>
    </row>
    <row r="2483" spans="1:6" s="4" customFormat="1" ht="12">
      <c r="A2483" s="106">
        <v>540806</v>
      </c>
      <c r="B2483" s="111" t="s">
        <v>213</v>
      </c>
      <c r="C2483" s="103">
        <v>212918029</v>
      </c>
      <c r="D2483" s="111" t="s">
        <v>1576</v>
      </c>
      <c r="E2483" s="133"/>
      <c r="F2483" s="35">
        <v>124502</v>
      </c>
    </row>
    <row r="2484" spans="1:6" s="4" customFormat="1" ht="12">
      <c r="A2484" s="106">
        <v>540806</v>
      </c>
      <c r="B2484" s="111" t="s">
        <v>213</v>
      </c>
      <c r="C2484" s="103">
        <v>219418094</v>
      </c>
      <c r="D2484" s="111" t="s">
        <v>1577</v>
      </c>
      <c r="E2484" s="133"/>
      <c r="F2484" s="35">
        <v>201017</v>
      </c>
    </row>
    <row r="2485" spans="1:6" s="4" customFormat="1" ht="12">
      <c r="A2485" s="106">
        <v>540806</v>
      </c>
      <c r="B2485" s="111" t="s">
        <v>213</v>
      </c>
      <c r="C2485" s="103">
        <v>215018150</v>
      </c>
      <c r="D2485" s="111" t="s">
        <v>1843</v>
      </c>
      <c r="E2485" s="133"/>
      <c r="F2485" s="35">
        <v>538953</v>
      </c>
    </row>
    <row r="2486" spans="1:6" s="4" customFormat="1" ht="12">
      <c r="A2486" s="106">
        <v>540806</v>
      </c>
      <c r="B2486" s="111" t="s">
        <v>213</v>
      </c>
      <c r="C2486" s="103" t="s">
        <v>514</v>
      </c>
      <c r="D2486" s="111" t="s">
        <v>1844</v>
      </c>
      <c r="E2486" s="133"/>
      <c r="F2486" s="35">
        <v>246210</v>
      </c>
    </row>
    <row r="2487" spans="1:6" s="4" customFormat="1" ht="12">
      <c r="A2487" s="106">
        <v>540806</v>
      </c>
      <c r="B2487" s="111" t="s">
        <v>213</v>
      </c>
      <c r="C2487" s="103" t="s">
        <v>2927</v>
      </c>
      <c r="D2487" s="111" t="s">
        <v>1845</v>
      </c>
      <c r="E2487" s="133"/>
      <c r="F2487" s="35">
        <v>358934</v>
      </c>
    </row>
    <row r="2488" spans="1:6" s="4" customFormat="1" ht="12">
      <c r="A2488" s="106">
        <v>540806</v>
      </c>
      <c r="B2488" s="111" t="s">
        <v>213</v>
      </c>
      <c r="C2488" s="103" t="s">
        <v>2934</v>
      </c>
      <c r="D2488" s="111" t="s">
        <v>1846</v>
      </c>
      <c r="E2488" s="133"/>
      <c r="F2488" s="35">
        <v>248861</v>
      </c>
    </row>
    <row r="2489" spans="1:6" s="4" customFormat="1" ht="12">
      <c r="A2489" s="106">
        <v>540806</v>
      </c>
      <c r="B2489" s="111" t="s">
        <v>213</v>
      </c>
      <c r="C2489" s="103" t="s">
        <v>1056</v>
      </c>
      <c r="D2489" s="111" t="s">
        <v>1847</v>
      </c>
      <c r="E2489" s="133"/>
      <c r="F2489" s="35">
        <v>322202</v>
      </c>
    </row>
    <row r="2490" spans="1:6" s="4" customFormat="1" ht="12">
      <c r="A2490" s="106">
        <v>540806</v>
      </c>
      <c r="B2490" s="111" t="s">
        <v>213</v>
      </c>
      <c r="C2490" s="103" t="s">
        <v>3193</v>
      </c>
      <c r="D2490" s="111" t="s">
        <v>1848</v>
      </c>
      <c r="E2490" s="133"/>
      <c r="F2490" s="35">
        <v>305218</v>
      </c>
    </row>
    <row r="2491" spans="1:6" s="4" customFormat="1" ht="12">
      <c r="A2491" s="106">
        <v>540806</v>
      </c>
      <c r="B2491" s="111" t="s">
        <v>213</v>
      </c>
      <c r="C2491" s="103" t="s">
        <v>3219</v>
      </c>
      <c r="D2491" s="111" t="s">
        <v>1849</v>
      </c>
      <c r="E2491" s="133"/>
      <c r="F2491" s="35">
        <v>82929</v>
      </c>
    </row>
    <row r="2492" spans="1:6" s="4" customFormat="1" ht="12">
      <c r="A2492" s="106">
        <v>540806</v>
      </c>
      <c r="B2492" s="111" t="s">
        <v>213</v>
      </c>
      <c r="C2492" s="103" t="s">
        <v>1850</v>
      </c>
      <c r="D2492" s="111" t="s">
        <v>1851</v>
      </c>
      <c r="E2492" s="133"/>
      <c r="F2492" s="35">
        <v>683496</v>
      </c>
    </row>
    <row r="2493" spans="1:6" s="4" customFormat="1" ht="12">
      <c r="A2493" s="106">
        <v>540806</v>
      </c>
      <c r="B2493" s="111" t="s">
        <v>213</v>
      </c>
      <c r="C2493" s="103">
        <v>211018610</v>
      </c>
      <c r="D2493" s="111" t="s">
        <v>1852</v>
      </c>
      <c r="E2493" s="133"/>
      <c r="F2493" s="35">
        <v>304014</v>
      </c>
    </row>
    <row r="2494" spans="1:6" s="4" customFormat="1" ht="12">
      <c r="A2494" s="106">
        <v>540806</v>
      </c>
      <c r="B2494" s="111" t="s">
        <v>213</v>
      </c>
      <c r="C2494" s="103">
        <v>215318753</v>
      </c>
      <c r="D2494" s="111" t="s">
        <v>1853</v>
      </c>
      <c r="E2494" s="133"/>
      <c r="F2494" s="35">
        <v>1049642</v>
      </c>
    </row>
    <row r="2495" spans="1:6" s="4" customFormat="1" ht="12">
      <c r="A2495" s="106">
        <v>540806</v>
      </c>
      <c r="B2495" s="111" t="s">
        <v>213</v>
      </c>
      <c r="C2495" s="103">
        <v>215618756</v>
      </c>
      <c r="D2495" s="111" t="s">
        <v>1854</v>
      </c>
      <c r="E2495" s="133"/>
      <c r="F2495" s="35">
        <v>316673</v>
      </c>
    </row>
    <row r="2496" spans="1:6" s="4" customFormat="1" ht="12">
      <c r="A2496" s="106">
        <v>540806</v>
      </c>
      <c r="B2496" s="111" t="s">
        <v>213</v>
      </c>
      <c r="C2496" s="103">
        <v>218518785</v>
      </c>
      <c r="D2496" s="111" t="s">
        <v>1855</v>
      </c>
      <c r="E2496" s="133"/>
      <c r="F2496" s="35">
        <v>169293</v>
      </c>
    </row>
    <row r="2497" spans="1:6" s="4" customFormat="1" ht="12">
      <c r="A2497" s="106">
        <v>540806</v>
      </c>
      <c r="B2497" s="111" t="s">
        <v>213</v>
      </c>
      <c r="C2497" s="103">
        <v>216018860</v>
      </c>
      <c r="D2497" s="111" t="s">
        <v>1316</v>
      </c>
      <c r="E2497" s="133"/>
      <c r="F2497" s="35">
        <v>187765</v>
      </c>
    </row>
    <row r="2498" spans="1:6" s="4" customFormat="1" ht="12">
      <c r="A2498" s="106">
        <v>540806</v>
      </c>
      <c r="B2498" s="111" t="s">
        <v>213</v>
      </c>
      <c r="C2498" s="103" t="s">
        <v>1856</v>
      </c>
      <c r="D2498" s="111" t="s">
        <v>1857</v>
      </c>
      <c r="E2498" s="133"/>
      <c r="F2498" s="35">
        <v>270362</v>
      </c>
    </row>
    <row r="2499" spans="1:6" s="4" customFormat="1" ht="12">
      <c r="A2499" s="106">
        <v>540806</v>
      </c>
      <c r="B2499" s="111" t="s">
        <v>213</v>
      </c>
      <c r="C2499" s="103" t="s">
        <v>1858</v>
      </c>
      <c r="D2499" s="111" t="s">
        <v>1187</v>
      </c>
      <c r="E2499" s="133"/>
      <c r="F2499" s="35">
        <v>382378</v>
      </c>
    </row>
    <row r="2500" spans="1:6" s="4" customFormat="1" ht="12">
      <c r="A2500" s="106">
        <v>540806</v>
      </c>
      <c r="B2500" s="111" t="s">
        <v>213</v>
      </c>
      <c r="C2500" s="103" t="s">
        <v>319</v>
      </c>
      <c r="D2500" s="111" t="s">
        <v>1859</v>
      </c>
      <c r="E2500" s="133"/>
      <c r="F2500" s="35">
        <v>294798</v>
      </c>
    </row>
    <row r="2501" spans="1:6" s="4" customFormat="1" ht="12">
      <c r="A2501" s="106">
        <v>540806</v>
      </c>
      <c r="B2501" s="111" t="s">
        <v>213</v>
      </c>
      <c r="C2501" s="103" t="s">
        <v>1860</v>
      </c>
      <c r="D2501" s="111" t="s">
        <v>1089</v>
      </c>
      <c r="E2501" s="133"/>
      <c r="F2501" s="35">
        <v>588783</v>
      </c>
    </row>
    <row r="2502" spans="1:6" s="4" customFormat="1" ht="12">
      <c r="A2502" s="106">
        <v>540806</v>
      </c>
      <c r="B2502" s="111" t="s">
        <v>213</v>
      </c>
      <c r="C2502" s="103" t="s">
        <v>1861</v>
      </c>
      <c r="D2502" s="111" t="s">
        <v>1862</v>
      </c>
      <c r="E2502" s="133"/>
      <c r="F2502" s="35">
        <v>419656</v>
      </c>
    </row>
    <row r="2503" spans="1:6" s="4" customFormat="1" ht="12">
      <c r="A2503" s="106">
        <v>540806</v>
      </c>
      <c r="B2503" s="111" t="s">
        <v>213</v>
      </c>
      <c r="C2503" s="103" t="s">
        <v>1863</v>
      </c>
      <c r="D2503" s="111" t="s">
        <v>1864</v>
      </c>
      <c r="E2503" s="133"/>
      <c r="F2503" s="35">
        <v>488846</v>
      </c>
    </row>
    <row r="2504" spans="1:6" s="4" customFormat="1" ht="12">
      <c r="A2504" s="106">
        <v>540806</v>
      </c>
      <c r="B2504" s="111" t="s">
        <v>213</v>
      </c>
      <c r="C2504" s="103">
        <v>213719137</v>
      </c>
      <c r="D2504" s="111" t="s">
        <v>1865</v>
      </c>
      <c r="E2504" s="133"/>
      <c r="F2504" s="35">
        <v>599933</v>
      </c>
    </row>
    <row r="2505" spans="1:6" s="4" customFormat="1" ht="12">
      <c r="A2505" s="106">
        <v>540806</v>
      </c>
      <c r="B2505" s="111" t="s">
        <v>213</v>
      </c>
      <c r="C2505" s="103">
        <v>214219142</v>
      </c>
      <c r="D2505" s="111" t="s">
        <v>1866</v>
      </c>
      <c r="E2505" s="133"/>
      <c r="F2505" s="35">
        <v>591567</v>
      </c>
    </row>
    <row r="2506" spans="1:6" s="4" customFormat="1" ht="12">
      <c r="A2506" s="106">
        <v>540806</v>
      </c>
      <c r="B2506" s="111" t="s">
        <v>213</v>
      </c>
      <c r="C2506" s="103">
        <v>211219212</v>
      </c>
      <c r="D2506" s="111" t="s">
        <v>1867</v>
      </c>
      <c r="E2506" s="133"/>
      <c r="F2506" s="35">
        <v>438026</v>
      </c>
    </row>
    <row r="2507" spans="1:6" s="4" customFormat="1" ht="12">
      <c r="A2507" s="106">
        <v>540806</v>
      </c>
      <c r="B2507" s="111" t="s">
        <v>213</v>
      </c>
      <c r="C2507" s="103">
        <v>215619256</v>
      </c>
      <c r="D2507" s="111" t="s">
        <v>1868</v>
      </c>
      <c r="E2507" s="133"/>
      <c r="F2507" s="35">
        <v>640247</v>
      </c>
    </row>
    <row r="2508" spans="1:6" s="4" customFormat="1" ht="12">
      <c r="A2508" s="106">
        <v>540806</v>
      </c>
      <c r="B2508" s="111" t="s">
        <v>213</v>
      </c>
      <c r="C2508" s="103">
        <v>219019290</v>
      </c>
      <c r="D2508" s="111" t="s">
        <v>1135</v>
      </c>
      <c r="E2508" s="133"/>
      <c r="F2508" s="35">
        <v>159346</v>
      </c>
    </row>
    <row r="2509" spans="1:6" s="4" customFormat="1" ht="12">
      <c r="A2509" s="106">
        <v>540806</v>
      </c>
      <c r="B2509" s="111" t="s">
        <v>213</v>
      </c>
      <c r="C2509" s="103">
        <v>211819318</v>
      </c>
      <c r="D2509" s="111" t="s">
        <v>1869</v>
      </c>
      <c r="E2509" s="133"/>
      <c r="F2509" s="35">
        <v>722832</v>
      </c>
    </row>
    <row r="2510" spans="1:6" s="4" customFormat="1" ht="12">
      <c r="A2510" s="106">
        <v>540806</v>
      </c>
      <c r="B2510" s="111" t="s">
        <v>213</v>
      </c>
      <c r="C2510" s="103">
        <v>215519355</v>
      </c>
      <c r="D2510" s="111" t="s">
        <v>1870</v>
      </c>
      <c r="E2510" s="133"/>
      <c r="F2510" s="35">
        <v>553592</v>
      </c>
    </row>
    <row r="2511" spans="1:6" s="4" customFormat="1" ht="12">
      <c r="A2511" s="106">
        <v>540806</v>
      </c>
      <c r="B2511" s="111" t="s">
        <v>213</v>
      </c>
      <c r="C2511" s="103">
        <v>216419364</v>
      </c>
      <c r="D2511" s="111" t="s">
        <v>1871</v>
      </c>
      <c r="E2511" s="133"/>
      <c r="F2511" s="35">
        <v>332047</v>
      </c>
    </row>
    <row r="2512" spans="1:6" s="4" customFormat="1" ht="12">
      <c r="A2512" s="106">
        <v>540806</v>
      </c>
      <c r="B2512" s="111" t="s">
        <v>213</v>
      </c>
      <c r="C2512" s="103">
        <v>219219392</v>
      </c>
      <c r="D2512" s="111" t="s">
        <v>1872</v>
      </c>
      <c r="E2512" s="133"/>
      <c r="F2512" s="35">
        <v>198127</v>
      </c>
    </row>
    <row r="2513" spans="1:6" s="4" customFormat="1" ht="12">
      <c r="A2513" s="106">
        <v>540806</v>
      </c>
      <c r="B2513" s="111" t="s">
        <v>213</v>
      </c>
      <c r="C2513" s="103">
        <v>219719397</v>
      </c>
      <c r="D2513" s="111" t="s">
        <v>1873</v>
      </c>
      <c r="E2513" s="133"/>
      <c r="F2513" s="35">
        <v>375519</v>
      </c>
    </row>
    <row r="2514" spans="1:6" s="4" customFormat="1" ht="12">
      <c r="A2514" s="106">
        <v>540806</v>
      </c>
      <c r="B2514" s="111" t="s">
        <v>213</v>
      </c>
      <c r="C2514" s="103">
        <v>211819418</v>
      </c>
      <c r="D2514" s="111" t="s">
        <v>1874</v>
      </c>
      <c r="E2514" s="133"/>
      <c r="F2514" s="35">
        <v>509079</v>
      </c>
    </row>
    <row r="2515" spans="1:6" s="4" customFormat="1" ht="12">
      <c r="A2515" s="106">
        <v>540806</v>
      </c>
      <c r="B2515" s="111" t="s">
        <v>213</v>
      </c>
      <c r="C2515" s="103">
        <v>215019450</v>
      </c>
      <c r="D2515" s="111" t="s">
        <v>1875</v>
      </c>
      <c r="E2515" s="133"/>
      <c r="F2515" s="35">
        <v>296567</v>
      </c>
    </row>
    <row r="2516" spans="1:6" s="4" customFormat="1" ht="12">
      <c r="A2516" s="106">
        <v>540806</v>
      </c>
      <c r="B2516" s="111" t="s">
        <v>213</v>
      </c>
      <c r="C2516" s="103">
        <v>215519455</v>
      </c>
      <c r="D2516" s="111" t="s">
        <v>1876</v>
      </c>
      <c r="E2516" s="133"/>
      <c r="F2516" s="35">
        <v>383202</v>
      </c>
    </row>
    <row r="2517" spans="1:6" s="4" customFormat="1" ht="12">
      <c r="A2517" s="106">
        <v>540806</v>
      </c>
      <c r="B2517" s="111" t="s">
        <v>213</v>
      </c>
      <c r="C2517" s="103">
        <v>217319473</v>
      </c>
      <c r="D2517" s="111" t="s">
        <v>1392</v>
      </c>
      <c r="E2517" s="133"/>
      <c r="F2517" s="35">
        <v>452064</v>
      </c>
    </row>
    <row r="2518" spans="1:6" s="4" customFormat="1" ht="12">
      <c r="A2518" s="106">
        <v>540806</v>
      </c>
      <c r="B2518" s="111" t="s">
        <v>213</v>
      </c>
      <c r="C2518" s="103">
        <v>211319513</v>
      </c>
      <c r="D2518" s="111" t="s">
        <v>1877</v>
      </c>
      <c r="E2518" s="133"/>
      <c r="F2518" s="35">
        <v>175166</v>
      </c>
    </row>
    <row r="2519" spans="1:6" s="4" customFormat="1" ht="12">
      <c r="A2519" s="106">
        <v>540806</v>
      </c>
      <c r="B2519" s="111" t="s">
        <v>213</v>
      </c>
      <c r="C2519" s="103">
        <v>211719517</v>
      </c>
      <c r="D2519" s="111" t="s">
        <v>1491</v>
      </c>
      <c r="E2519" s="133"/>
      <c r="F2519" s="35">
        <v>652494</v>
      </c>
    </row>
    <row r="2520" spans="1:6" s="4" customFormat="1" ht="12">
      <c r="A2520" s="106">
        <v>540806</v>
      </c>
      <c r="B2520" s="111" t="s">
        <v>213</v>
      </c>
      <c r="C2520" s="103">
        <v>213219532</v>
      </c>
      <c r="D2520" s="111" t="s">
        <v>1878</v>
      </c>
      <c r="E2520" s="133"/>
      <c r="F2520" s="35">
        <v>561248</v>
      </c>
    </row>
    <row r="2521" spans="1:6" s="4" customFormat="1" ht="12">
      <c r="A2521" s="106">
        <v>540806</v>
      </c>
      <c r="B2521" s="111" t="s">
        <v>213</v>
      </c>
      <c r="C2521" s="103">
        <v>213319533</v>
      </c>
      <c r="D2521" s="111" t="s">
        <v>1879</v>
      </c>
      <c r="E2521" s="133"/>
      <c r="F2521" s="35">
        <v>180174</v>
      </c>
    </row>
    <row r="2522" spans="1:6" s="4" customFormat="1" ht="12">
      <c r="A2522" s="106">
        <v>540806</v>
      </c>
      <c r="B2522" s="111" t="s">
        <v>213</v>
      </c>
      <c r="C2522" s="103">
        <v>214819548</v>
      </c>
      <c r="D2522" s="111" t="s">
        <v>1880</v>
      </c>
      <c r="E2522" s="133"/>
      <c r="F2522" s="35">
        <v>462099</v>
      </c>
    </row>
    <row r="2523" spans="1:6" s="4" customFormat="1" ht="12">
      <c r="A2523" s="106">
        <v>540806</v>
      </c>
      <c r="B2523" s="111" t="s">
        <v>213</v>
      </c>
      <c r="C2523" s="103">
        <v>217319573</v>
      </c>
      <c r="D2523" s="111" t="s">
        <v>1881</v>
      </c>
      <c r="E2523" s="133"/>
      <c r="F2523" s="35">
        <v>634776</v>
      </c>
    </row>
    <row r="2524" spans="1:6" s="4" customFormat="1" ht="12">
      <c r="A2524" s="106">
        <v>540806</v>
      </c>
      <c r="B2524" s="111" t="s">
        <v>213</v>
      </c>
      <c r="C2524" s="103">
        <v>218519585</v>
      </c>
      <c r="D2524" s="111" t="s">
        <v>1882</v>
      </c>
      <c r="E2524" s="133"/>
      <c r="F2524" s="35">
        <v>324315</v>
      </c>
    </row>
    <row r="2525" spans="1:6" s="4" customFormat="1" ht="12">
      <c r="A2525" s="106">
        <v>540806</v>
      </c>
      <c r="B2525" s="111" t="s">
        <v>213</v>
      </c>
      <c r="C2525" s="103">
        <v>212219622</v>
      </c>
      <c r="D2525" s="111" t="s">
        <v>1883</v>
      </c>
      <c r="E2525" s="133"/>
      <c r="F2525" s="35">
        <v>163770</v>
      </c>
    </row>
    <row r="2526" spans="1:6" s="4" customFormat="1" ht="12">
      <c r="A2526" s="106">
        <v>540806</v>
      </c>
      <c r="B2526" s="111" t="s">
        <v>213</v>
      </c>
      <c r="C2526" s="103">
        <v>219319693</v>
      </c>
      <c r="D2526" s="111" t="s">
        <v>1884</v>
      </c>
      <c r="E2526" s="133"/>
      <c r="F2526" s="35">
        <v>164308</v>
      </c>
    </row>
    <row r="2527" spans="1:6" s="4" customFormat="1" ht="12">
      <c r="A2527" s="106">
        <v>540806</v>
      </c>
      <c r="B2527" s="111" t="s">
        <v>213</v>
      </c>
      <c r="C2527" s="103">
        <v>219819698</v>
      </c>
      <c r="D2527" s="111" t="s">
        <v>1885</v>
      </c>
      <c r="E2527" s="133"/>
      <c r="F2527" s="35">
        <v>1024564</v>
      </c>
    </row>
    <row r="2528" spans="1:6" s="4" customFormat="1" ht="12">
      <c r="A2528" s="106">
        <v>540806</v>
      </c>
      <c r="B2528" s="111" t="s">
        <v>213</v>
      </c>
      <c r="C2528" s="103">
        <v>210119701</v>
      </c>
      <c r="D2528" s="111" t="s">
        <v>1411</v>
      </c>
      <c r="E2528" s="133"/>
      <c r="F2528" s="35">
        <v>234352</v>
      </c>
    </row>
    <row r="2529" spans="1:6" s="4" customFormat="1" ht="12">
      <c r="A2529" s="106">
        <v>540806</v>
      </c>
      <c r="B2529" s="111" t="s">
        <v>213</v>
      </c>
      <c r="C2529" s="103">
        <v>214319743</v>
      </c>
      <c r="D2529" s="111" t="s">
        <v>1886</v>
      </c>
      <c r="E2529" s="133"/>
      <c r="F2529" s="35">
        <v>584882</v>
      </c>
    </row>
    <row r="2530" spans="1:6" s="4" customFormat="1" ht="12">
      <c r="A2530" s="106">
        <v>540806</v>
      </c>
      <c r="B2530" s="111" t="s">
        <v>213</v>
      </c>
      <c r="C2530" s="103">
        <v>216019760</v>
      </c>
      <c r="D2530" s="111" t="s">
        <v>1887</v>
      </c>
      <c r="E2530" s="133"/>
      <c r="F2530" s="35">
        <v>254864</v>
      </c>
    </row>
    <row r="2531" spans="1:6" s="4" customFormat="1" ht="12">
      <c r="A2531" s="106">
        <v>540806</v>
      </c>
      <c r="B2531" s="111" t="s">
        <v>213</v>
      </c>
      <c r="C2531" s="103">
        <v>218019780</v>
      </c>
      <c r="D2531" s="111" t="s">
        <v>1888</v>
      </c>
      <c r="E2531" s="133"/>
      <c r="F2531" s="35">
        <v>347157</v>
      </c>
    </row>
    <row r="2532" spans="1:6" s="4" customFormat="1" ht="12">
      <c r="A2532" s="106">
        <v>540806</v>
      </c>
      <c r="B2532" s="111" t="s">
        <v>213</v>
      </c>
      <c r="C2532" s="103">
        <v>218519785</v>
      </c>
      <c r="D2532" s="111" t="s">
        <v>1107</v>
      </c>
      <c r="E2532" s="133"/>
      <c r="F2532" s="35">
        <v>137966</v>
      </c>
    </row>
    <row r="2533" spans="1:6" s="4" customFormat="1" ht="12">
      <c r="A2533" s="106">
        <v>540806</v>
      </c>
      <c r="B2533" s="111" t="s">
        <v>213</v>
      </c>
      <c r="C2533" s="103">
        <v>210719807</v>
      </c>
      <c r="D2533" s="111" t="s">
        <v>1889</v>
      </c>
      <c r="E2533" s="133"/>
      <c r="F2533" s="35">
        <v>379999</v>
      </c>
    </row>
    <row r="2534" spans="1:6" s="4" customFormat="1" ht="12">
      <c r="A2534" s="106">
        <v>540806</v>
      </c>
      <c r="B2534" s="111" t="s">
        <v>213</v>
      </c>
      <c r="C2534" s="106">
        <v>210919809</v>
      </c>
      <c r="D2534" s="111" t="s">
        <v>1890</v>
      </c>
      <c r="E2534" s="134"/>
      <c r="F2534" s="35">
        <v>611551</v>
      </c>
    </row>
    <row r="2535" spans="1:6" s="4" customFormat="1" ht="12">
      <c r="A2535" s="106">
        <v>540806</v>
      </c>
      <c r="B2535" s="111" t="s">
        <v>213</v>
      </c>
      <c r="C2535" s="106">
        <v>212119821</v>
      </c>
      <c r="D2535" s="111" t="s">
        <v>1891</v>
      </c>
      <c r="E2535" s="134"/>
      <c r="F2535" s="35">
        <v>684848</v>
      </c>
    </row>
    <row r="2536" spans="1:6" s="4" customFormat="1" ht="12">
      <c r="A2536" s="106">
        <v>540806</v>
      </c>
      <c r="B2536" s="111" t="s">
        <v>213</v>
      </c>
      <c r="C2536" s="103">
        <v>212419824</v>
      </c>
      <c r="D2536" s="111" t="s">
        <v>1892</v>
      </c>
      <c r="E2536" s="133"/>
      <c r="F2536" s="35">
        <v>393185</v>
      </c>
    </row>
    <row r="2537" spans="1:6" s="4" customFormat="1" ht="12">
      <c r="A2537" s="106">
        <v>540806</v>
      </c>
      <c r="B2537" s="111" t="s">
        <v>213</v>
      </c>
      <c r="C2537" s="106">
        <v>214519845</v>
      </c>
      <c r="D2537" s="111" t="s">
        <v>1893</v>
      </c>
      <c r="E2537" s="134"/>
      <c r="F2537" s="35">
        <v>205985</v>
      </c>
    </row>
    <row r="2538" spans="1:6" s="4" customFormat="1" ht="12">
      <c r="A2538" s="106">
        <v>540806</v>
      </c>
      <c r="B2538" s="111" t="s">
        <v>213</v>
      </c>
      <c r="C2538" s="106" t="s">
        <v>1894</v>
      </c>
      <c r="D2538" s="111" t="s">
        <v>1895</v>
      </c>
      <c r="E2538" s="134"/>
      <c r="F2538" s="35">
        <v>1263472</v>
      </c>
    </row>
    <row r="2539" spans="1:6" s="4" customFormat="1" ht="12">
      <c r="A2539" s="106">
        <v>540806</v>
      </c>
      <c r="B2539" s="111" t="s">
        <v>213</v>
      </c>
      <c r="C2539" s="106" t="s">
        <v>1896</v>
      </c>
      <c r="D2539" s="111" t="s">
        <v>1897</v>
      </c>
      <c r="E2539" s="134"/>
      <c r="F2539" s="35">
        <v>997686</v>
      </c>
    </row>
    <row r="2540" spans="1:6" s="4" customFormat="1" ht="12">
      <c r="A2540" s="106">
        <v>540806</v>
      </c>
      <c r="B2540" s="111" t="s">
        <v>213</v>
      </c>
      <c r="C2540" s="106" t="s">
        <v>1898</v>
      </c>
      <c r="D2540" s="111" t="s">
        <v>1899</v>
      </c>
      <c r="E2540" s="134"/>
      <c r="F2540" s="35">
        <v>488065</v>
      </c>
    </row>
    <row r="2541" spans="1:6" s="4" customFormat="1" ht="12">
      <c r="A2541" s="106">
        <v>540806</v>
      </c>
      <c r="B2541" s="111" t="s">
        <v>213</v>
      </c>
      <c r="C2541" s="106" t="s">
        <v>331</v>
      </c>
      <c r="D2541" s="111" t="s">
        <v>1900</v>
      </c>
      <c r="E2541" s="134"/>
      <c r="F2541" s="35">
        <v>332666</v>
      </c>
    </row>
    <row r="2542" spans="1:6" s="4" customFormat="1" ht="12">
      <c r="A2542" s="106">
        <v>540806</v>
      </c>
      <c r="B2542" s="111" t="s">
        <v>213</v>
      </c>
      <c r="C2542" s="106" t="s">
        <v>1901</v>
      </c>
      <c r="D2542" s="111" t="s">
        <v>1902</v>
      </c>
      <c r="E2542" s="134"/>
      <c r="F2542" s="35">
        <v>468795</v>
      </c>
    </row>
    <row r="2543" spans="1:6" s="4" customFormat="1" ht="12">
      <c r="A2543" s="106">
        <v>540806</v>
      </c>
      <c r="B2543" s="111" t="s">
        <v>213</v>
      </c>
      <c r="C2543" s="106" t="s">
        <v>1903</v>
      </c>
      <c r="D2543" s="111" t="s">
        <v>1904</v>
      </c>
      <c r="E2543" s="134"/>
      <c r="F2543" s="35">
        <v>755567</v>
      </c>
    </row>
    <row r="2544" spans="1:6" s="4" customFormat="1" ht="12">
      <c r="A2544" s="106">
        <v>540806</v>
      </c>
      <c r="B2544" s="111" t="s">
        <v>213</v>
      </c>
      <c r="C2544" s="106">
        <v>217820178</v>
      </c>
      <c r="D2544" s="111" t="s">
        <v>1905</v>
      </c>
      <c r="E2544" s="134"/>
      <c r="F2544" s="35">
        <v>523049</v>
      </c>
    </row>
    <row r="2545" spans="1:6" s="4" customFormat="1" ht="12">
      <c r="A2545" s="106">
        <v>540806</v>
      </c>
      <c r="B2545" s="111" t="s">
        <v>213</v>
      </c>
      <c r="C2545" s="106" t="s">
        <v>517</v>
      </c>
      <c r="D2545" s="111" t="s">
        <v>1906</v>
      </c>
      <c r="E2545" s="134"/>
      <c r="F2545" s="35">
        <v>619575</v>
      </c>
    </row>
    <row r="2546" spans="1:6" s="4" customFormat="1" ht="12">
      <c r="A2546" s="106">
        <v>540806</v>
      </c>
      <c r="B2546" s="111" t="s">
        <v>213</v>
      </c>
      <c r="C2546" s="103" t="s">
        <v>1907</v>
      </c>
      <c r="D2546" s="111" t="s">
        <v>1908</v>
      </c>
      <c r="E2546" s="133"/>
      <c r="F2546" s="35">
        <v>476095</v>
      </c>
    </row>
    <row r="2547" spans="1:6" s="4" customFormat="1" ht="12">
      <c r="A2547" s="106">
        <v>540806</v>
      </c>
      <c r="B2547" s="111" t="s">
        <v>213</v>
      </c>
      <c r="C2547" s="103" t="s">
        <v>1909</v>
      </c>
      <c r="D2547" s="111" t="s">
        <v>1910</v>
      </c>
      <c r="E2547" s="133"/>
      <c r="F2547" s="35">
        <v>462429</v>
      </c>
    </row>
    <row r="2548" spans="1:6" s="4" customFormat="1" ht="12">
      <c r="A2548" s="106">
        <v>540806</v>
      </c>
      <c r="B2548" s="111" t="s">
        <v>213</v>
      </c>
      <c r="C2548" s="106" t="s">
        <v>1911</v>
      </c>
      <c r="D2548" s="111" t="s">
        <v>1912</v>
      </c>
      <c r="E2548" s="134"/>
      <c r="F2548" s="35">
        <v>233962</v>
      </c>
    </row>
    <row r="2549" spans="1:6" s="4" customFormat="1" ht="12">
      <c r="A2549" s="106">
        <v>540806</v>
      </c>
      <c r="B2549" s="111" t="s">
        <v>213</v>
      </c>
      <c r="C2549" s="103" t="s">
        <v>1913</v>
      </c>
      <c r="D2549" s="111" t="s">
        <v>1914</v>
      </c>
      <c r="E2549" s="133"/>
      <c r="F2549" s="35">
        <v>92333</v>
      </c>
    </row>
    <row r="2550" spans="1:6" s="4" customFormat="1" ht="12">
      <c r="A2550" s="106">
        <v>540806</v>
      </c>
      <c r="B2550" s="111" t="s">
        <v>213</v>
      </c>
      <c r="C2550" s="106" t="s">
        <v>1915</v>
      </c>
      <c r="D2550" s="111" t="s">
        <v>1916</v>
      </c>
      <c r="E2550" s="134"/>
      <c r="F2550" s="35">
        <v>255551</v>
      </c>
    </row>
    <row r="2551" spans="1:6" s="4" customFormat="1" ht="12">
      <c r="A2551" s="106">
        <v>540806</v>
      </c>
      <c r="B2551" s="111" t="s">
        <v>213</v>
      </c>
      <c r="C2551" s="103" t="s">
        <v>1917</v>
      </c>
      <c r="D2551" s="111" t="s">
        <v>1918</v>
      </c>
      <c r="E2551" s="133"/>
      <c r="F2551" s="35">
        <v>509637</v>
      </c>
    </row>
    <row r="2552" spans="1:6" s="4" customFormat="1" ht="12">
      <c r="A2552" s="106">
        <v>540806</v>
      </c>
      <c r="B2552" s="111" t="s">
        <v>213</v>
      </c>
      <c r="C2552" s="103" t="s">
        <v>1919</v>
      </c>
      <c r="D2552" s="111" t="s">
        <v>1920</v>
      </c>
      <c r="E2552" s="133"/>
      <c r="F2552" s="35">
        <v>203923</v>
      </c>
    </row>
    <row r="2553" spans="1:6" s="4" customFormat="1" ht="12">
      <c r="A2553" s="106">
        <v>540806</v>
      </c>
      <c r="B2553" s="111" t="s">
        <v>213</v>
      </c>
      <c r="C2553" s="103" t="s">
        <v>1921</v>
      </c>
      <c r="D2553" s="111" t="s">
        <v>1922</v>
      </c>
      <c r="E2553" s="133"/>
      <c r="F2553" s="35">
        <v>284545</v>
      </c>
    </row>
    <row r="2554" spans="1:6" s="4" customFormat="1" ht="12">
      <c r="A2554" s="106">
        <v>540806</v>
      </c>
      <c r="B2554" s="111" t="s">
        <v>213</v>
      </c>
      <c r="C2554" s="106" t="s">
        <v>613</v>
      </c>
      <c r="D2554" s="111" t="s">
        <v>1923</v>
      </c>
      <c r="E2554" s="134"/>
      <c r="F2554" s="35">
        <v>353660</v>
      </c>
    </row>
    <row r="2555" spans="1:6" s="4" customFormat="1" ht="12">
      <c r="A2555" s="106">
        <v>540806</v>
      </c>
      <c r="B2555" s="111" t="s">
        <v>213</v>
      </c>
      <c r="C2555" s="103" t="s">
        <v>1924</v>
      </c>
      <c r="D2555" s="111" t="s">
        <v>1925</v>
      </c>
      <c r="E2555" s="133"/>
      <c r="F2555" s="35">
        <v>403878</v>
      </c>
    </row>
    <row r="2556" spans="1:6" s="4" customFormat="1" ht="12">
      <c r="A2556" s="106">
        <v>540806</v>
      </c>
      <c r="B2556" s="111" t="s">
        <v>213</v>
      </c>
      <c r="C2556" s="103" t="s">
        <v>1926</v>
      </c>
      <c r="D2556" s="111" t="s">
        <v>1927</v>
      </c>
      <c r="E2556" s="133"/>
      <c r="F2556" s="35">
        <v>314355</v>
      </c>
    </row>
    <row r="2557" spans="1:6" s="4" customFormat="1" ht="12">
      <c r="A2557" s="106">
        <v>540806</v>
      </c>
      <c r="B2557" s="111" t="s">
        <v>213</v>
      </c>
      <c r="C2557" s="103" t="s">
        <v>3115</v>
      </c>
      <c r="D2557" s="111" t="s">
        <v>1928</v>
      </c>
      <c r="E2557" s="133"/>
      <c r="F2557" s="35">
        <v>438076</v>
      </c>
    </row>
    <row r="2558" spans="1:6" s="4" customFormat="1" ht="12">
      <c r="A2558" s="106">
        <v>540806</v>
      </c>
      <c r="B2558" s="111" t="s">
        <v>213</v>
      </c>
      <c r="C2558" s="103" t="s">
        <v>1929</v>
      </c>
      <c r="D2558" s="111" t="s">
        <v>1930</v>
      </c>
      <c r="E2558" s="133"/>
      <c r="F2558" s="35">
        <v>327796</v>
      </c>
    </row>
    <row r="2559" spans="1:6" s="4" customFormat="1" ht="12">
      <c r="A2559" s="106">
        <v>540806</v>
      </c>
      <c r="B2559" s="111" t="s">
        <v>213</v>
      </c>
      <c r="C2559" s="103" t="s">
        <v>1931</v>
      </c>
      <c r="D2559" s="111" t="s">
        <v>1932</v>
      </c>
      <c r="E2559" s="133"/>
      <c r="F2559" s="35">
        <v>249914</v>
      </c>
    </row>
    <row r="2560" spans="1:6" s="4" customFormat="1" ht="12">
      <c r="A2560" s="106">
        <v>540806</v>
      </c>
      <c r="B2560" s="111" t="s">
        <v>213</v>
      </c>
      <c r="C2560" s="103" t="s">
        <v>1933</v>
      </c>
      <c r="D2560" s="111" t="s">
        <v>1934</v>
      </c>
      <c r="E2560" s="133"/>
      <c r="F2560" s="35">
        <v>301493</v>
      </c>
    </row>
    <row r="2561" spans="1:6" s="4" customFormat="1" ht="12">
      <c r="A2561" s="106">
        <v>540806</v>
      </c>
      <c r="B2561" s="111" t="s">
        <v>213</v>
      </c>
      <c r="C2561" s="106" t="s">
        <v>1935</v>
      </c>
      <c r="D2561" s="111" t="s">
        <v>1936</v>
      </c>
      <c r="E2561" s="134"/>
      <c r="F2561" s="35">
        <v>350706</v>
      </c>
    </row>
    <row r="2562" spans="1:6" s="4" customFormat="1" ht="12">
      <c r="A2562" s="106">
        <v>540806</v>
      </c>
      <c r="B2562" s="111" t="s">
        <v>213</v>
      </c>
      <c r="C2562" s="103" t="s">
        <v>315</v>
      </c>
      <c r="D2562" s="111" t="s">
        <v>1937</v>
      </c>
      <c r="E2562" s="133"/>
      <c r="F2562" s="35">
        <v>855735</v>
      </c>
    </row>
    <row r="2563" spans="1:6" s="4" customFormat="1" ht="12">
      <c r="A2563" s="106">
        <v>540806</v>
      </c>
      <c r="B2563" s="111" t="s">
        <v>213</v>
      </c>
      <c r="C2563" s="106" t="s">
        <v>1938</v>
      </c>
      <c r="D2563" s="111" t="s">
        <v>1436</v>
      </c>
      <c r="E2563" s="134"/>
      <c r="F2563" s="35">
        <v>439905</v>
      </c>
    </row>
    <row r="2564" spans="1:6" s="4" customFormat="1" ht="12">
      <c r="A2564" s="106">
        <v>540806</v>
      </c>
      <c r="B2564" s="111" t="s">
        <v>213</v>
      </c>
      <c r="C2564" s="103">
        <v>219023090</v>
      </c>
      <c r="D2564" s="111" t="s">
        <v>1939</v>
      </c>
      <c r="E2564" s="133"/>
      <c r="F2564" s="35">
        <v>438877</v>
      </c>
    </row>
    <row r="2565" spans="1:6" s="4" customFormat="1" ht="12">
      <c r="A2565" s="106">
        <v>540806</v>
      </c>
      <c r="B2565" s="111" t="s">
        <v>213</v>
      </c>
      <c r="C2565" s="103" t="s">
        <v>418</v>
      </c>
      <c r="D2565" s="111" t="s">
        <v>1940</v>
      </c>
      <c r="E2565" s="133"/>
      <c r="F2565" s="35">
        <v>1175791</v>
      </c>
    </row>
    <row r="2566" spans="1:6" s="4" customFormat="1" ht="12">
      <c r="A2566" s="106">
        <v>540806</v>
      </c>
      <c r="B2566" s="111" t="s">
        <v>213</v>
      </c>
      <c r="C2566" s="103" t="s">
        <v>1941</v>
      </c>
      <c r="D2566" s="111" t="s">
        <v>1942</v>
      </c>
      <c r="E2566" s="133"/>
      <c r="F2566" s="35">
        <v>318840</v>
      </c>
    </row>
    <row r="2567" spans="1:6" s="4" customFormat="1" ht="12">
      <c r="A2567" s="106">
        <v>540806</v>
      </c>
      <c r="B2567" s="111" t="s">
        <v>213</v>
      </c>
      <c r="C2567" s="103" t="s">
        <v>1943</v>
      </c>
      <c r="D2567" s="111" t="s">
        <v>1944</v>
      </c>
      <c r="E2567" s="133"/>
      <c r="F2567" s="35">
        <v>765311</v>
      </c>
    </row>
    <row r="2568" spans="1:6" s="4" customFormat="1" ht="12">
      <c r="A2568" s="106">
        <v>540806</v>
      </c>
      <c r="B2568" s="111" t="s">
        <v>213</v>
      </c>
      <c r="C2568" s="103">
        <v>218923189</v>
      </c>
      <c r="D2568" s="111" t="s">
        <v>1945</v>
      </c>
      <c r="E2568" s="133"/>
      <c r="F2568" s="35">
        <v>945000</v>
      </c>
    </row>
    <row r="2569" spans="1:6" s="4" customFormat="1" ht="12">
      <c r="A2569" s="106">
        <v>540806</v>
      </c>
      <c r="B2569" s="111" t="s">
        <v>213</v>
      </c>
      <c r="C2569" s="103" t="s">
        <v>1946</v>
      </c>
      <c r="D2569" s="111" t="s">
        <v>1947</v>
      </c>
      <c r="E2569" s="133"/>
      <c r="F2569" s="35">
        <v>367772</v>
      </c>
    </row>
    <row r="2570" spans="1:6" s="4" customFormat="1" ht="12">
      <c r="A2570" s="106">
        <v>540806</v>
      </c>
      <c r="B2570" s="111" t="s">
        <v>213</v>
      </c>
      <c r="C2570" s="103" t="s">
        <v>3094</v>
      </c>
      <c r="D2570" s="111" t="s">
        <v>1948</v>
      </c>
      <c r="E2570" s="133"/>
      <c r="F2570" s="35">
        <v>257193</v>
      </c>
    </row>
    <row r="2571" spans="1:6" s="4" customFormat="1" ht="12">
      <c r="A2571" s="106">
        <v>540806</v>
      </c>
      <c r="B2571" s="111" t="s">
        <v>213</v>
      </c>
      <c r="C2571" s="103" t="s">
        <v>1949</v>
      </c>
      <c r="D2571" s="111" t="s">
        <v>1950</v>
      </c>
      <c r="E2571" s="133"/>
      <c r="F2571" s="35">
        <v>376772</v>
      </c>
    </row>
    <row r="2572" spans="1:6" s="4" customFormat="1" ht="12">
      <c r="A2572" s="106">
        <v>540806</v>
      </c>
      <c r="B2572" s="111" t="s">
        <v>213</v>
      </c>
      <c r="C2572" s="103" t="s">
        <v>1951</v>
      </c>
      <c r="D2572" s="111" t="s">
        <v>1952</v>
      </c>
      <c r="E2572" s="133"/>
      <c r="F2572" s="35">
        <v>312319</v>
      </c>
    </row>
    <row r="2573" spans="1:6" s="4" customFormat="1" ht="12">
      <c r="A2573" s="106">
        <v>540806</v>
      </c>
      <c r="B2573" s="111" t="s">
        <v>213</v>
      </c>
      <c r="C2573" s="103" t="s">
        <v>1953</v>
      </c>
      <c r="D2573" s="111" t="s">
        <v>1954</v>
      </c>
      <c r="E2573" s="133"/>
      <c r="F2573" s="35">
        <v>1187153</v>
      </c>
    </row>
    <row r="2574" spans="1:6" s="4" customFormat="1" ht="12">
      <c r="A2574" s="106">
        <v>540806</v>
      </c>
      <c r="B2574" s="111" t="s">
        <v>213</v>
      </c>
      <c r="C2574" s="103" t="s">
        <v>1955</v>
      </c>
      <c r="D2574" s="111" t="s">
        <v>1956</v>
      </c>
      <c r="E2574" s="133"/>
      <c r="F2574" s="35">
        <v>738318</v>
      </c>
    </row>
    <row r="2575" spans="1:6" s="4" customFormat="1" ht="12">
      <c r="A2575" s="106">
        <v>540806</v>
      </c>
      <c r="B2575" s="111" t="s">
        <v>213</v>
      </c>
      <c r="C2575" s="103" t="s">
        <v>634</v>
      </c>
      <c r="D2575" s="111" t="s">
        <v>1957</v>
      </c>
      <c r="E2575" s="133"/>
      <c r="F2575" s="35">
        <v>1108006</v>
      </c>
    </row>
    <row r="2576" spans="1:6" s="4" customFormat="1" ht="12">
      <c r="A2576" s="106">
        <v>540806</v>
      </c>
      <c r="B2576" s="111" t="s">
        <v>213</v>
      </c>
      <c r="C2576" s="103">
        <v>217023570</v>
      </c>
      <c r="D2576" s="111" t="s">
        <v>1958</v>
      </c>
      <c r="E2576" s="133"/>
      <c r="F2576" s="35">
        <v>649565</v>
      </c>
    </row>
    <row r="2577" spans="1:6" s="4" customFormat="1" ht="12">
      <c r="A2577" s="106">
        <v>540806</v>
      </c>
      <c r="B2577" s="111" t="s">
        <v>213</v>
      </c>
      <c r="C2577" s="103">
        <v>217423574</v>
      </c>
      <c r="D2577" s="111" t="s">
        <v>1959</v>
      </c>
      <c r="E2577" s="133"/>
      <c r="F2577" s="35">
        <v>525753</v>
      </c>
    </row>
    <row r="2578" spans="1:6" s="4" customFormat="1" ht="12">
      <c r="A2578" s="106">
        <v>540806</v>
      </c>
      <c r="B2578" s="111" t="s">
        <v>213</v>
      </c>
      <c r="C2578" s="103">
        <v>218023580</v>
      </c>
      <c r="D2578" s="111" t="s">
        <v>1960</v>
      </c>
      <c r="E2578" s="133"/>
      <c r="F2578" s="35">
        <v>707672</v>
      </c>
    </row>
    <row r="2579" spans="1:6" s="4" customFormat="1" ht="12">
      <c r="A2579" s="106">
        <v>540806</v>
      </c>
      <c r="B2579" s="111" t="s">
        <v>213</v>
      </c>
      <c r="C2579" s="103">
        <v>218623586</v>
      </c>
      <c r="D2579" s="111" t="s">
        <v>1961</v>
      </c>
      <c r="E2579" s="133"/>
      <c r="F2579" s="35">
        <v>370512</v>
      </c>
    </row>
    <row r="2580" spans="1:6" s="4" customFormat="1" ht="12">
      <c r="A2580" s="106">
        <v>540806</v>
      </c>
      <c r="B2580" s="111" t="s">
        <v>213</v>
      </c>
      <c r="C2580" s="103" t="s">
        <v>1962</v>
      </c>
      <c r="D2580" s="111" t="s">
        <v>1963</v>
      </c>
      <c r="E2580" s="133"/>
      <c r="F2580" s="35">
        <v>1368734</v>
      </c>
    </row>
    <row r="2581" spans="1:6" s="4" customFormat="1" ht="12">
      <c r="A2581" s="106">
        <v>540806</v>
      </c>
      <c r="B2581" s="111" t="s">
        <v>213</v>
      </c>
      <c r="C2581" s="103" t="s">
        <v>1964</v>
      </c>
      <c r="D2581" s="111" t="s">
        <v>1965</v>
      </c>
      <c r="E2581" s="133"/>
      <c r="F2581" s="35">
        <v>795558</v>
      </c>
    </row>
    <row r="2582" spans="1:6" s="4" customFormat="1" ht="12">
      <c r="A2582" s="106">
        <v>540806</v>
      </c>
      <c r="B2582" s="111" t="s">
        <v>213</v>
      </c>
      <c r="C2582" s="103" t="s">
        <v>1966</v>
      </c>
      <c r="D2582" s="111" t="s">
        <v>1967</v>
      </c>
      <c r="E2582" s="133"/>
      <c r="F2582" s="35">
        <v>698685</v>
      </c>
    </row>
    <row r="2583" spans="1:6" s="4" customFormat="1" ht="12">
      <c r="A2583" s="106">
        <v>540806</v>
      </c>
      <c r="B2583" s="111" t="s">
        <v>213</v>
      </c>
      <c r="C2583" s="103" t="s">
        <v>758</v>
      </c>
      <c r="D2583" s="111" t="s">
        <v>1282</v>
      </c>
      <c r="E2583" s="133"/>
      <c r="F2583" s="35">
        <v>530497</v>
      </c>
    </row>
    <row r="2584" spans="1:6" s="4" customFormat="1" ht="12">
      <c r="A2584" s="106">
        <v>540806</v>
      </c>
      <c r="B2584" s="111" t="s">
        <v>213</v>
      </c>
      <c r="C2584" s="103" t="s">
        <v>800</v>
      </c>
      <c r="D2584" s="111" t="s">
        <v>1968</v>
      </c>
      <c r="E2584" s="133"/>
      <c r="F2584" s="35">
        <v>764173</v>
      </c>
    </row>
    <row r="2585" spans="1:6" s="4" customFormat="1" ht="12">
      <c r="A2585" s="106">
        <v>540806</v>
      </c>
      <c r="B2585" s="111" t="s">
        <v>213</v>
      </c>
      <c r="C2585" s="103" t="s">
        <v>3339</v>
      </c>
      <c r="D2585" s="111" t="s">
        <v>1969</v>
      </c>
      <c r="E2585" s="133"/>
      <c r="F2585" s="35">
        <v>1670942</v>
      </c>
    </row>
    <row r="2586" spans="1:6" s="4" customFormat="1" ht="12">
      <c r="A2586" s="106">
        <v>540806</v>
      </c>
      <c r="B2586" s="111" t="s">
        <v>213</v>
      </c>
      <c r="C2586" s="103" t="s">
        <v>3393</v>
      </c>
      <c r="D2586" s="111" t="s">
        <v>1970</v>
      </c>
      <c r="E2586" s="133"/>
      <c r="F2586" s="35">
        <v>828829</v>
      </c>
    </row>
    <row r="2587" spans="1:6" s="4" customFormat="1" ht="12">
      <c r="A2587" s="106">
        <v>540806</v>
      </c>
      <c r="B2587" s="111" t="s">
        <v>213</v>
      </c>
      <c r="C2587" s="103" t="s">
        <v>1971</v>
      </c>
      <c r="D2587" s="111" t="s">
        <v>1972</v>
      </c>
      <c r="E2587" s="133"/>
      <c r="F2587" s="35">
        <v>194582</v>
      </c>
    </row>
    <row r="2588" spans="1:6" s="4" customFormat="1" ht="12">
      <c r="A2588" s="106">
        <v>540806</v>
      </c>
      <c r="B2588" s="111" t="s">
        <v>213</v>
      </c>
      <c r="C2588" s="103" t="s">
        <v>1973</v>
      </c>
      <c r="D2588" s="111" t="s">
        <v>1974</v>
      </c>
      <c r="E2588" s="133"/>
      <c r="F2588" s="35">
        <v>89229</v>
      </c>
    </row>
    <row r="2589" spans="1:6" s="4" customFormat="1" ht="12">
      <c r="A2589" s="106">
        <v>540806</v>
      </c>
      <c r="B2589" s="111" t="s">
        <v>213</v>
      </c>
      <c r="C2589" s="103" t="s">
        <v>279</v>
      </c>
      <c r="D2589" s="111" t="s">
        <v>1975</v>
      </c>
      <c r="E2589" s="133"/>
      <c r="F2589" s="35">
        <v>135316</v>
      </c>
    </row>
    <row r="2590" spans="1:6" s="4" customFormat="1" ht="12">
      <c r="A2590" s="106">
        <v>540806</v>
      </c>
      <c r="B2590" s="111" t="s">
        <v>213</v>
      </c>
      <c r="C2590" s="103" t="s">
        <v>285</v>
      </c>
      <c r="D2590" s="111" t="s">
        <v>1976</v>
      </c>
      <c r="E2590" s="133"/>
      <c r="F2590" s="35">
        <v>221270</v>
      </c>
    </row>
    <row r="2591" spans="1:6" s="4" customFormat="1" ht="12">
      <c r="A2591" s="106">
        <v>540806</v>
      </c>
      <c r="B2591" s="111" t="s">
        <v>213</v>
      </c>
      <c r="C2591" s="103" t="s">
        <v>303</v>
      </c>
      <c r="D2591" s="111" t="s">
        <v>1977</v>
      </c>
      <c r="E2591" s="133"/>
      <c r="F2591" s="35">
        <v>182117</v>
      </c>
    </row>
    <row r="2592" spans="1:6" s="4" customFormat="1" ht="12">
      <c r="A2592" s="106">
        <v>540806</v>
      </c>
      <c r="B2592" s="111" t="s">
        <v>213</v>
      </c>
      <c r="C2592" s="103" t="s">
        <v>340</v>
      </c>
      <c r="D2592" s="111" t="s">
        <v>1978</v>
      </c>
      <c r="E2592" s="133"/>
      <c r="F2592" s="35">
        <v>50682</v>
      </c>
    </row>
    <row r="2593" spans="1:6" s="4" customFormat="1" ht="12">
      <c r="A2593" s="106">
        <v>540806</v>
      </c>
      <c r="B2593" s="111" t="s">
        <v>213</v>
      </c>
      <c r="C2593" s="103" t="s">
        <v>348</v>
      </c>
      <c r="D2593" s="111" t="s">
        <v>1979</v>
      </c>
      <c r="E2593" s="133"/>
      <c r="F2593" s="35">
        <v>37611</v>
      </c>
    </row>
    <row r="2594" spans="1:6" s="4" customFormat="1" ht="12">
      <c r="A2594" s="106">
        <v>540806</v>
      </c>
      <c r="B2594" s="111" t="s">
        <v>213</v>
      </c>
      <c r="C2594" s="103" t="s">
        <v>353</v>
      </c>
      <c r="D2594" s="111" t="s">
        <v>1980</v>
      </c>
      <c r="E2594" s="133"/>
      <c r="F2594" s="35">
        <v>103741</v>
      </c>
    </row>
    <row r="2595" spans="1:6" s="4" customFormat="1" ht="12">
      <c r="A2595" s="106">
        <v>540806</v>
      </c>
      <c r="B2595" s="111" t="s">
        <v>213</v>
      </c>
      <c r="C2595" s="103" t="s">
        <v>368</v>
      </c>
      <c r="D2595" s="111" t="s">
        <v>1981</v>
      </c>
      <c r="E2595" s="133"/>
      <c r="F2595" s="35">
        <v>78609</v>
      </c>
    </row>
    <row r="2596" spans="1:6" s="4" customFormat="1" ht="12">
      <c r="A2596" s="106">
        <v>540806</v>
      </c>
      <c r="B2596" s="111" t="s">
        <v>213</v>
      </c>
      <c r="C2596" s="103" t="s">
        <v>1982</v>
      </c>
      <c r="D2596" s="111" t="s">
        <v>1983</v>
      </c>
      <c r="E2596" s="133"/>
      <c r="F2596" s="35">
        <v>96376</v>
      </c>
    </row>
    <row r="2597" spans="1:6" s="4" customFormat="1" ht="12">
      <c r="A2597" s="106">
        <v>540806</v>
      </c>
      <c r="B2597" s="111" t="s">
        <v>213</v>
      </c>
      <c r="C2597" s="103" t="s">
        <v>378</v>
      </c>
      <c r="D2597" s="111" t="s">
        <v>1984</v>
      </c>
      <c r="E2597" s="133"/>
      <c r="F2597" s="35">
        <v>512463</v>
      </c>
    </row>
    <row r="2598" spans="1:6" s="4" customFormat="1" ht="12">
      <c r="A2598" s="106">
        <v>540806</v>
      </c>
      <c r="B2598" s="111" t="s">
        <v>213</v>
      </c>
      <c r="C2598" s="103" t="s">
        <v>1985</v>
      </c>
      <c r="D2598" s="111" t="s">
        <v>1986</v>
      </c>
      <c r="E2598" s="133"/>
      <c r="F2598" s="35">
        <v>243292</v>
      </c>
    </row>
    <row r="2599" spans="1:6" s="4" customFormat="1" ht="12">
      <c r="A2599" s="106">
        <v>540806</v>
      </c>
      <c r="B2599" s="111" t="s">
        <v>213</v>
      </c>
      <c r="C2599" s="103" t="s">
        <v>405</v>
      </c>
      <c r="D2599" s="111" t="s">
        <v>1987</v>
      </c>
      <c r="E2599" s="133"/>
      <c r="F2599" s="35">
        <v>236867</v>
      </c>
    </row>
    <row r="2600" spans="1:6" s="4" customFormat="1" ht="12">
      <c r="A2600" s="106">
        <v>540806</v>
      </c>
      <c r="B2600" s="111" t="s">
        <v>213</v>
      </c>
      <c r="C2600" s="103" t="s">
        <v>411</v>
      </c>
      <c r="D2600" s="111" t="s">
        <v>1988</v>
      </c>
      <c r="E2600" s="133"/>
      <c r="F2600" s="35">
        <v>106958</v>
      </c>
    </row>
    <row r="2601" spans="1:6" s="4" customFormat="1" ht="12">
      <c r="A2601" s="106">
        <v>540806</v>
      </c>
      <c r="B2601" s="111" t="s">
        <v>213</v>
      </c>
      <c r="C2601" s="103" t="s">
        <v>423</v>
      </c>
      <c r="D2601" s="111" t="s">
        <v>1989</v>
      </c>
      <c r="E2601" s="133"/>
      <c r="F2601" s="35">
        <v>57951</v>
      </c>
    </row>
    <row r="2602" spans="1:6" s="4" customFormat="1" ht="12">
      <c r="A2602" s="106">
        <v>540806</v>
      </c>
      <c r="B2602" s="111" t="s">
        <v>213</v>
      </c>
      <c r="C2602" s="103" t="s">
        <v>431</v>
      </c>
      <c r="D2602" s="111" t="s">
        <v>1990</v>
      </c>
      <c r="E2602" s="133"/>
      <c r="F2602" s="35">
        <v>834561</v>
      </c>
    </row>
    <row r="2603" spans="1:6" s="4" customFormat="1" ht="12">
      <c r="A2603" s="106">
        <v>540806</v>
      </c>
      <c r="B2603" s="111" t="s">
        <v>213</v>
      </c>
      <c r="C2603" s="103" t="s">
        <v>441</v>
      </c>
      <c r="D2603" s="111" t="s">
        <v>1991</v>
      </c>
      <c r="E2603" s="133"/>
      <c r="F2603" s="35">
        <v>181757</v>
      </c>
    </row>
    <row r="2604" spans="1:6" s="4" customFormat="1" ht="12">
      <c r="A2604" s="106">
        <v>540806</v>
      </c>
      <c r="B2604" s="111" t="s">
        <v>213</v>
      </c>
      <c r="C2604" s="103" t="s">
        <v>458</v>
      </c>
      <c r="D2604" s="111" t="s">
        <v>1992</v>
      </c>
      <c r="E2604" s="133"/>
      <c r="F2604" s="35">
        <v>163834</v>
      </c>
    </row>
    <row r="2605" spans="1:6" s="4" customFormat="1" ht="12">
      <c r="A2605" s="106">
        <v>540806</v>
      </c>
      <c r="B2605" s="111" t="s">
        <v>213</v>
      </c>
      <c r="C2605" s="103" t="s">
        <v>460</v>
      </c>
      <c r="D2605" s="111" t="s">
        <v>1993</v>
      </c>
      <c r="E2605" s="133"/>
      <c r="F2605" s="35">
        <v>272349</v>
      </c>
    </row>
    <row r="2606" spans="1:6" s="4" customFormat="1" ht="12">
      <c r="A2606" s="106">
        <v>540806</v>
      </c>
      <c r="B2606" s="111" t="s">
        <v>213</v>
      </c>
      <c r="C2606" s="103" t="s">
        <v>470</v>
      </c>
      <c r="D2606" s="111" t="s">
        <v>1994</v>
      </c>
      <c r="E2606" s="133"/>
      <c r="F2606" s="35">
        <v>223873</v>
      </c>
    </row>
    <row r="2607" spans="1:6" s="4" customFormat="1" ht="12">
      <c r="A2607" s="106">
        <v>540806</v>
      </c>
      <c r="B2607" s="111" t="s">
        <v>213</v>
      </c>
      <c r="C2607" s="103" t="s">
        <v>494</v>
      </c>
      <c r="D2607" s="111" t="s">
        <v>1995</v>
      </c>
      <c r="E2607" s="133"/>
      <c r="F2607" s="35">
        <v>200104</v>
      </c>
    </row>
    <row r="2608" spans="1:6" s="4" customFormat="1" ht="12">
      <c r="A2608" s="106">
        <v>540806</v>
      </c>
      <c r="B2608" s="111" t="s">
        <v>213</v>
      </c>
      <c r="C2608" s="103" t="s">
        <v>505</v>
      </c>
      <c r="D2608" s="111" t="s">
        <v>1996</v>
      </c>
      <c r="E2608" s="133"/>
      <c r="F2608" s="35">
        <v>107240</v>
      </c>
    </row>
    <row r="2609" spans="1:6" s="4" customFormat="1" ht="12">
      <c r="A2609" s="106">
        <v>540806</v>
      </c>
      <c r="B2609" s="111" t="s">
        <v>213</v>
      </c>
      <c r="C2609" s="103" t="s">
        <v>537</v>
      </c>
      <c r="D2609" s="111" t="s">
        <v>1997</v>
      </c>
      <c r="E2609" s="133"/>
      <c r="F2609" s="35">
        <v>304618</v>
      </c>
    </row>
    <row r="2610" spans="1:6" s="4" customFormat="1" ht="12">
      <c r="A2610" s="106">
        <v>540806</v>
      </c>
      <c r="B2610" s="111" t="s">
        <v>213</v>
      </c>
      <c r="C2610" s="103">
        <v>215825258</v>
      </c>
      <c r="D2610" s="111" t="s">
        <v>1383</v>
      </c>
      <c r="E2610" s="133"/>
      <c r="F2610" s="35">
        <v>106649</v>
      </c>
    </row>
    <row r="2611" spans="1:6" s="4" customFormat="1" ht="12">
      <c r="A2611" s="106">
        <v>540806</v>
      </c>
      <c r="B2611" s="111" t="s">
        <v>213</v>
      </c>
      <c r="C2611" s="103" t="s">
        <v>2941</v>
      </c>
      <c r="D2611" s="111" t="s">
        <v>1998</v>
      </c>
      <c r="E2611" s="133"/>
      <c r="F2611" s="35">
        <v>145032</v>
      </c>
    </row>
    <row r="2612" spans="1:6" s="4" customFormat="1" ht="12">
      <c r="A2612" s="106">
        <v>540806</v>
      </c>
      <c r="B2612" s="111" t="s">
        <v>213</v>
      </c>
      <c r="C2612" s="103" t="s">
        <v>2958</v>
      </c>
      <c r="D2612" s="111" t="s">
        <v>1999</v>
      </c>
      <c r="E2612" s="133"/>
      <c r="F2612" s="35">
        <v>1197433</v>
      </c>
    </row>
    <row r="2613" spans="1:6" s="4" customFormat="1" ht="12">
      <c r="A2613" s="106">
        <v>540806</v>
      </c>
      <c r="B2613" s="111" t="s">
        <v>213</v>
      </c>
      <c r="C2613" s="103" t="s">
        <v>2972</v>
      </c>
      <c r="D2613" s="111" t="s">
        <v>2000</v>
      </c>
      <c r="E2613" s="133"/>
      <c r="F2613" s="35">
        <v>244420</v>
      </c>
    </row>
    <row r="2614" spans="1:6" s="4" customFormat="1" ht="12">
      <c r="A2614" s="106">
        <v>540806</v>
      </c>
      <c r="B2614" s="111" t="s">
        <v>213</v>
      </c>
      <c r="C2614" s="103">
        <v>218125281</v>
      </c>
      <c r="D2614" s="111" t="s">
        <v>2001</v>
      </c>
      <c r="E2614" s="133"/>
      <c r="F2614" s="35">
        <v>93233</v>
      </c>
    </row>
    <row r="2615" spans="1:6" s="4" customFormat="1" ht="12">
      <c r="A2615" s="106">
        <v>540806</v>
      </c>
      <c r="B2615" s="111" t="s">
        <v>213</v>
      </c>
      <c r="C2615" s="103" t="s">
        <v>2983</v>
      </c>
      <c r="D2615" s="111" t="s">
        <v>2002</v>
      </c>
      <c r="E2615" s="133"/>
      <c r="F2615" s="35">
        <v>528717</v>
      </c>
    </row>
    <row r="2616" spans="1:6" s="4" customFormat="1" ht="12">
      <c r="A2616" s="106">
        <v>540806</v>
      </c>
      <c r="B2616" s="111" t="s">
        <v>213</v>
      </c>
      <c r="C2616" s="103" t="s">
        <v>2985</v>
      </c>
      <c r="D2616" s="111" t="s">
        <v>2003</v>
      </c>
      <c r="E2616" s="133"/>
      <c r="F2616" s="35">
        <v>129884</v>
      </c>
    </row>
    <row r="2617" spans="1:6" s="4" customFormat="1" ht="12">
      <c r="A2617" s="106">
        <v>540806</v>
      </c>
      <c r="B2617" s="111" t="s">
        <v>213</v>
      </c>
      <c r="C2617" s="103" t="s">
        <v>2989</v>
      </c>
      <c r="D2617" s="111" t="s">
        <v>2004</v>
      </c>
      <c r="E2617" s="133"/>
      <c r="F2617" s="35">
        <v>91413</v>
      </c>
    </row>
    <row r="2618" spans="1:6" s="4" customFormat="1" ht="12">
      <c r="A2618" s="106">
        <v>540806</v>
      </c>
      <c r="B2618" s="111" t="s">
        <v>213</v>
      </c>
      <c r="C2618" s="103">
        <v>219525295</v>
      </c>
      <c r="D2618" s="111" t="s">
        <v>2005</v>
      </c>
      <c r="E2618" s="133"/>
      <c r="F2618" s="35">
        <v>133316</v>
      </c>
    </row>
    <row r="2619" spans="1:6" s="4" customFormat="1" ht="12">
      <c r="A2619" s="106">
        <v>540806</v>
      </c>
      <c r="B2619" s="111" t="s">
        <v>213</v>
      </c>
      <c r="C2619" s="103" t="s">
        <v>2994</v>
      </c>
      <c r="D2619" s="111" t="s">
        <v>2006</v>
      </c>
      <c r="E2619" s="133"/>
      <c r="F2619" s="35">
        <v>161203</v>
      </c>
    </row>
    <row r="2620" spans="1:6" s="4" customFormat="1" ht="12">
      <c r="A2620" s="106">
        <v>540806</v>
      </c>
      <c r="B2620" s="111" t="s">
        <v>213</v>
      </c>
      <c r="C2620" s="103" t="s">
        <v>2998</v>
      </c>
      <c r="D2620" s="111" t="s">
        <v>2007</v>
      </c>
      <c r="E2620" s="133"/>
      <c r="F2620" s="35">
        <v>56136</v>
      </c>
    </row>
    <row r="2621" spans="1:6" s="4" customFormat="1" ht="12">
      <c r="A2621" s="106">
        <v>540806</v>
      </c>
      <c r="B2621" s="111" t="s">
        <v>213</v>
      </c>
      <c r="C2621" s="103" t="s">
        <v>2008</v>
      </c>
      <c r="D2621" s="111" t="s">
        <v>1234</v>
      </c>
      <c r="E2621" s="133"/>
      <c r="F2621" s="35">
        <v>91388</v>
      </c>
    </row>
    <row r="2622" spans="1:6" s="4" customFormat="1" ht="12">
      <c r="A2622" s="106">
        <v>540806</v>
      </c>
      <c r="B2622" s="111" t="s">
        <v>213</v>
      </c>
      <c r="C2622" s="103" t="s">
        <v>3027</v>
      </c>
      <c r="D2622" s="111" t="s">
        <v>2009</v>
      </c>
      <c r="E2622" s="133"/>
      <c r="F2622" s="35">
        <v>168175</v>
      </c>
    </row>
    <row r="2623" spans="1:6" s="4" customFormat="1" ht="12">
      <c r="A2623" s="106">
        <v>540806</v>
      </c>
      <c r="B2623" s="111" t="s">
        <v>213</v>
      </c>
      <c r="C2623" s="103" t="s">
        <v>3036</v>
      </c>
      <c r="D2623" s="111" t="s">
        <v>2010</v>
      </c>
      <c r="E2623" s="133"/>
      <c r="F2623" s="35">
        <v>334392</v>
      </c>
    </row>
    <row r="2624" spans="1:6" s="4" customFormat="1" ht="12">
      <c r="A2624" s="106">
        <v>540806</v>
      </c>
      <c r="B2624" s="111" t="s">
        <v>213</v>
      </c>
      <c r="C2624" s="103" t="s">
        <v>2011</v>
      </c>
      <c r="D2624" s="111" t="s">
        <v>2012</v>
      </c>
      <c r="E2624" s="133"/>
      <c r="F2624" s="35">
        <v>244157</v>
      </c>
    </row>
    <row r="2625" spans="1:6" s="4" customFormat="1" ht="12">
      <c r="A2625" s="106">
        <v>540806</v>
      </c>
      <c r="B2625" s="111" t="s">
        <v>213</v>
      </c>
      <c r="C2625" s="103" t="s">
        <v>2013</v>
      </c>
      <c r="D2625" s="111" t="s">
        <v>2014</v>
      </c>
      <c r="E2625" s="133"/>
      <c r="F2625" s="35">
        <v>66291</v>
      </c>
    </row>
    <row r="2626" spans="1:6" s="4" customFormat="1" ht="12">
      <c r="A2626" s="106">
        <v>540806</v>
      </c>
      <c r="B2626" s="111" t="s">
        <v>213</v>
      </c>
      <c r="C2626" s="103" t="s">
        <v>3046</v>
      </c>
      <c r="D2626" s="111" t="s">
        <v>2015</v>
      </c>
      <c r="E2626" s="133"/>
      <c r="F2626" s="35">
        <v>73680</v>
      </c>
    </row>
    <row r="2627" spans="1:6" s="4" customFormat="1" ht="12">
      <c r="A2627" s="106">
        <v>540806</v>
      </c>
      <c r="B2627" s="111" t="s">
        <v>213</v>
      </c>
      <c r="C2627" s="103">
        <v>212825328</v>
      </c>
      <c r="D2627" s="111" t="s">
        <v>2016</v>
      </c>
      <c r="E2627" s="133"/>
      <c r="F2627" s="35">
        <v>58866</v>
      </c>
    </row>
    <row r="2628" spans="1:6" s="4" customFormat="1" ht="12">
      <c r="A2628" s="106">
        <v>540806</v>
      </c>
      <c r="B2628" s="111" t="s">
        <v>213</v>
      </c>
      <c r="C2628" s="103" t="s">
        <v>3054</v>
      </c>
      <c r="D2628" s="111" t="s">
        <v>2017</v>
      </c>
      <c r="E2628" s="133"/>
      <c r="F2628" s="35">
        <v>79960</v>
      </c>
    </row>
    <row r="2629" spans="1:6" s="4" customFormat="1" ht="12">
      <c r="A2629" s="106">
        <v>540806</v>
      </c>
      <c r="B2629" s="111" t="s">
        <v>213</v>
      </c>
      <c r="C2629" s="106" t="s">
        <v>2018</v>
      </c>
      <c r="D2629" s="111" t="s">
        <v>2019</v>
      </c>
      <c r="E2629" s="134"/>
      <c r="F2629" s="35">
        <v>67518</v>
      </c>
    </row>
    <row r="2630" spans="1:6" s="4" customFormat="1" ht="12">
      <c r="A2630" s="106">
        <v>540806</v>
      </c>
      <c r="B2630" s="111" t="s">
        <v>213</v>
      </c>
      <c r="C2630" s="103" t="s">
        <v>3084</v>
      </c>
      <c r="D2630" s="111" t="s">
        <v>2020</v>
      </c>
      <c r="E2630" s="133"/>
      <c r="F2630" s="35">
        <v>48113</v>
      </c>
    </row>
    <row r="2631" spans="1:6" s="4" customFormat="1" ht="12">
      <c r="A2631" s="106">
        <v>540806</v>
      </c>
      <c r="B2631" s="111" t="s">
        <v>213</v>
      </c>
      <c r="C2631" s="106" t="s">
        <v>3092</v>
      </c>
      <c r="D2631" s="111" t="s">
        <v>2021</v>
      </c>
      <c r="E2631" s="134"/>
      <c r="F2631" s="35">
        <v>114565</v>
      </c>
    </row>
    <row r="2632" spans="1:6" s="4" customFormat="1" ht="12">
      <c r="A2632" s="106">
        <v>540806</v>
      </c>
      <c r="B2632" s="111" t="s">
        <v>213</v>
      </c>
      <c r="C2632" s="106" t="s">
        <v>3100</v>
      </c>
      <c r="D2632" s="111" t="s">
        <v>2022</v>
      </c>
      <c r="E2632" s="134"/>
      <c r="F2632" s="35">
        <v>225160</v>
      </c>
    </row>
    <row r="2633" spans="1:6" s="4" customFormat="1" ht="12">
      <c r="A2633" s="106">
        <v>540806</v>
      </c>
      <c r="B2633" s="111" t="s">
        <v>213</v>
      </c>
      <c r="C2633" s="106" t="s">
        <v>3111</v>
      </c>
      <c r="D2633" s="111" t="s">
        <v>2023</v>
      </c>
      <c r="E2633" s="134"/>
      <c r="F2633" s="35">
        <v>343380</v>
      </c>
    </row>
    <row r="2634" spans="1:6" s="4" customFormat="1" ht="12">
      <c r="A2634" s="106">
        <v>540806</v>
      </c>
      <c r="B2634" s="111" t="s">
        <v>213</v>
      </c>
      <c r="C2634" s="106" t="s">
        <v>3113</v>
      </c>
      <c r="D2634" s="111" t="s">
        <v>2024</v>
      </c>
      <c r="E2634" s="134"/>
      <c r="F2634" s="35">
        <v>170064</v>
      </c>
    </row>
    <row r="2635" spans="1:6" s="4" customFormat="1" ht="12">
      <c r="A2635" s="106">
        <v>540806</v>
      </c>
      <c r="B2635" s="111" t="s">
        <v>213</v>
      </c>
      <c r="C2635" s="106" t="s">
        <v>3117</v>
      </c>
      <c r="D2635" s="111" t="s">
        <v>2025</v>
      </c>
      <c r="E2635" s="134"/>
      <c r="F2635" s="35">
        <v>103113</v>
      </c>
    </row>
    <row r="2636" spans="1:6" s="4" customFormat="1" ht="12">
      <c r="A2636" s="106">
        <v>540806</v>
      </c>
      <c r="B2636" s="111" t="s">
        <v>213</v>
      </c>
      <c r="C2636" s="106" t="s">
        <v>2026</v>
      </c>
      <c r="D2636" s="111" t="s">
        <v>1873</v>
      </c>
      <c r="E2636" s="134"/>
      <c r="F2636" s="35">
        <v>211772</v>
      </c>
    </row>
    <row r="2637" spans="1:6" s="4" customFormat="1" ht="12">
      <c r="A2637" s="106">
        <v>540806</v>
      </c>
      <c r="B2637" s="111" t="s">
        <v>213</v>
      </c>
      <c r="C2637" s="106" t="s">
        <v>3144</v>
      </c>
      <c r="D2637" s="111" t="s">
        <v>2027</v>
      </c>
      <c r="E2637" s="134"/>
      <c r="F2637" s="35">
        <v>134015</v>
      </c>
    </row>
    <row r="2638" spans="1:6" s="4" customFormat="1" ht="12">
      <c r="A2638" s="106">
        <v>540806</v>
      </c>
      <c r="B2638" s="111" t="s">
        <v>213</v>
      </c>
      <c r="C2638" s="106" t="s">
        <v>2028</v>
      </c>
      <c r="D2638" s="111" t="s">
        <v>2029</v>
      </c>
      <c r="E2638" s="134"/>
      <c r="F2638" s="35">
        <v>103775</v>
      </c>
    </row>
    <row r="2639" spans="1:6" s="4" customFormat="1" ht="12">
      <c r="A2639" s="106">
        <v>540806</v>
      </c>
      <c r="B2639" s="111" t="s">
        <v>213</v>
      </c>
      <c r="C2639" s="106" t="s">
        <v>3159</v>
      </c>
      <c r="D2639" s="111" t="s">
        <v>2030</v>
      </c>
      <c r="E2639" s="134"/>
      <c r="F2639" s="35">
        <v>602340</v>
      </c>
    </row>
    <row r="2640" spans="1:6" s="4" customFormat="1" ht="12">
      <c r="A2640" s="106">
        <v>540806</v>
      </c>
      <c r="B2640" s="111" t="s">
        <v>213</v>
      </c>
      <c r="C2640" s="106" t="s">
        <v>3172</v>
      </c>
      <c r="D2640" s="111" t="s">
        <v>2031</v>
      </c>
      <c r="E2640" s="134"/>
      <c r="F2640" s="35">
        <v>107865</v>
      </c>
    </row>
    <row r="2641" spans="1:6" s="4" customFormat="1" ht="12">
      <c r="A2641" s="106">
        <v>540806</v>
      </c>
      <c r="B2641" s="111" t="s">
        <v>213</v>
      </c>
      <c r="C2641" s="106" t="s">
        <v>3188</v>
      </c>
      <c r="D2641" s="111" t="s">
        <v>2032</v>
      </c>
      <c r="E2641" s="134"/>
      <c r="F2641" s="35">
        <v>137935</v>
      </c>
    </row>
    <row r="2642" spans="1:6" s="4" customFormat="1" ht="12">
      <c r="A2642" s="106">
        <v>540806</v>
      </c>
      <c r="B2642" s="111" t="s">
        <v>213</v>
      </c>
      <c r="C2642" s="106" t="s">
        <v>2033</v>
      </c>
      <c r="D2642" s="111" t="s">
        <v>2034</v>
      </c>
      <c r="E2642" s="134"/>
      <c r="F2642" s="35">
        <v>597519</v>
      </c>
    </row>
    <row r="2643" spans="1:6" s="4" customFormat="1" ht="12">
      <c r="A2643" s="106">
        <v>540806</v>
      </c>
      <c r="B2643" s="111" t="s">
        <v>213</v>
      </c>
      <c r="C2643" s="106">
        <v>218325483</v>
      </c>
      <c r="D2643" s="111" t="s">
        <v>1102</v>
      </c>
      <c r="E2643" s="134"/>
      <c r="F2643" s="35">
        <v>88776</v>
      </c>
    </row>
    <row r="2644" spans="1:6" s="4" customFormat="1" ht="12">
      <c r="A2644" s="106">
        <v>540806</v>
      </c>
      <c r="B2644" s="111" t="s">
        <v>213</v>
      </c>
      <c r="C2644" s="106" t="s">
        <v>539</v>
      </c>
      <c r="D2644" s="111" t="s">
        <v>2035</v>
      </c>
      <c r="E2644" s="134"/>
      <c r="F2644" s="35">
        <v>161204</v>
      </c>
    </row>
    <row r="2645" spans="1:6" s="4" customFormat="1" ht="12">
      <c r="A2645" s="106">
        <v>540806</v>
      </c>
      <c r="B2645" s="111" t="s">
        <v>213</v>
      </c>
      <c r="C2645" s="106" t="s">
        <v>541</v>
      </c>
      <c r="D2645" s="111" t="s">
        <v>2036</v>
      </c>
      <c r="E2645" s="134"/>
      <c r="F2645" s="35">
        <v>94125</v>
      </c>
    </row>
    <row r="2646" spans="1:6" s="4" customFormat="1" ht="12">
      <c r="A2646" s="106">
        <v>540806</v>
      </c>
      <c r="B2646" s="111" t="s">
        <v>213</v>
      </c>
      <c r="C2646" s="106" t="s">
        <v>543</v>
      </c>
      <c r="D2646" s="111" t="s">
        <v>2037</v>
      </c>
      <c r="E2646" s="134"/>
      <c r="F2646" s="35">
        <v>58958</v>
      </c>
    </row>
    <row r="2647" spans="1:6" s="4" customFormat="1" ht="12">
      <c r="A2647" s="106">
        <v>540806</v>
      </c>
      <c r="B2647" s="111" t="s">
        <v>213</v>
      </c>
      <c r="C2647" s="106" t="s">
        <v>547</v>
      </c>
      <c r="D2647" s="111" t="s">
        <v>2038</v>
      </c>
      <c r="E2647" s="134"/>
      <c r="F2647" s="35">
        <v>89839</v>
      </c>
    </row>
    <row r="2648" spans="1:6" s="4" customFormat="1" ht="12">
      <c r="A2648" s="106">
        <v>540806</v>
      </c>
      <c r="B2648" s="111" t="s">
        <v>213</v>
      </c>
      <c r="C2648" s="106">
        <v>210625506</v>
      </c>
      <c r="D2648" s="111" t="s">
        <v>2039</v>
      </c>
      <c r="E2648" s="134"/>
      <c r="F2648" s="35">
        <v>63149</v>
      </c>
    </row>
    <row r="2649" spans="1:6" s="4" customFormat="1" ht="12">
      <c r="A2649" s="106">
        <v>540806</v>
      </c>
      <c r="B2649" s="111" t="s">
        <v>213</v>
      </c>
      <c r="C2649" s="106" t="s">
        <v>573</v>
      </c>
      <c r="D2649" s="111" t="s">
        <v>2040</v>
      </c>
      <c r="E2649" s="134"/>
      <c r="F2649" s="35">
        <v>368047</v>
      </c>
    </row>
    <row r="2650" spans="1:6" s="4" customFormat="1" ht="12">
      <c r="A2650" s="106">
        <v>540806</v>
      </c>
      <c r="B2650" s="111" t="s">
        <v>213</v>
      </c>
      <c r="C2650" s="106" t="s">
        <v>2041</v>
      </c>
      <c r="D2650" s="111" t="s">
        <v>2042</v>
      </c>
      <c r="E2650" s="134"/>
      <c r="F2650" s="35">
        <v>121347</v>
      </c>
    </row>
    <row r="2651" spans="1:6" s="4" customFormat="1" ht="12">
      <c r="A2651" s="106">
        <v>540806</v>
      </c>
      <c r="B2651" s="111" t="s">
        <v>213</v>
      </c>
      <c r="C2651" s="106" t="s">
        <v>594</v>
      </c>
      <c r="D2651" s="111" t="s">
        <v>2043</v>
      </c>
      <c r="E2651" s="134"/>
      <c r="F2651" s="35">
        <v>82193</v>
      </c>
    </row>
    <row r="2652" spans="1:6" s="4" customFormat="1" ht="12">
      <c r="A2652" s="106">
        <v>540806</v>
      </c>
      <c r="B2652" s="111" t="s">
        <v>213</v>
      </c>
      <c r="C2652" s="106" t="s">
        <v>599</v>
      </c>
      <c r="D2652" s="111" t="s">
        <v>2044</v>
      </c>
      <c r="E2652" s="134"/>
      <c r="F2652" s="35">
        <v>102168</v>
      </c>
    </row>
    <row r="2653" spans="1:6" s="4" customFormat="1" ht="12">
      <c r="A2653" s="106">
        <v>540806</v>
      </c>
      <c r="B2653" s="111" t="s">
        <v>213</v>
      </c>
      <c r="C2653" s="106" t="s">
        <v>601</v>
      </c>
      <c r="D2653" s="111" t="s">
        <v>2045</v>
      </c>
      <c r="E2653" s="134"/>
      <c r="F2653" s="35">
        <v>186548</v>
      </c>
    </row>
    <row r="2654" spans="1:6" s="4" customFormat="1" ht="12">
      <c r="A2654" s="106">
        <v>540806</v>
      </c>
      <c r="B2654" s="111" t="s">
        <v>213</v>
      </c>
      <c r="C2654" s="106" t="s">
        <v>664</v>
      </c>
      <c r="D2654" s="111" t="s">
        <v>2046</v>
      </c>
      <c r="E2654" s="134"/>
      <c r="F2654" s="35">
        <v>226278</v>
      </c>
    </row>
    <row r="2655" spans="1:6" s="4" customFormat="1" ht="12">
      <c r="A2655" s="106">
        <v>540806</v>
      </c>
      <c r="B2655" s="111" t="s">
        <v>213</v>
      </c>
      <c r="C2655" s="106" t="s">
        <v>670</v>
      </c>
      <c r="D2655" s="111" t="s">
        <v>2047</v>
      </c>
      <c r="E2655" s="134"/>
      <c r="F2655" s="35">
        <v>64320</v>
      </c>
    </row>
    <row r="2656" spans="1:6" s="4" customFormat="1" ht="12">
      <c r="A2656" s="106">
        <v>540806</v>
      </c>
      <c r="B2656" s="111" t="s">
        <v>213</v>
      </c>
      <c r="C2656" s="106" t="s">
        <v>675</v>
      </c>
      <c r="D2656" s="111" t="s">
        <v>2048</v>
      </c>
      <c r="E2656" s="134"/>
      <c r="F2656" s="35">
        <v>62451</v>
      </c>
    </row>
    <row r="2657" spans="1:6" s="4" customFormat="1" ht="12">
      <c r="A2657" s="106">
        <v>540806</v>
      </c>
      <c r="B2657" s="111" t="s">
        <v>213</v>
      </c>
      <c r="C2657" s="106" t="s">
        <v>677</v>
      </c>
      <c r="D2657" s="111" t="s">
        <v>2049</v>
      </c>
      <c r="E2657" s="134"/>
      <c r="F2657" s="35">
        <v>78047</v>
      </c>
    </row>
    <row r="2658" spans="1:6" s="4" customFormat="1" ht="12">
      <c r="A2658" s="106">
        <v>540806</v>
      </c>
      <c r="B2658" s="111" t="s">
        <v>213</v>
      </c>
      <c r="C2658" s="106">
        <v>219625596</v>
      </c>
      <c r="D2658" s="111" t="s">
        <v>2050</v>
      </c>
      <c r="E2658" s="134"/>
      <c r="F2658" s="35">
        <v>134106</v>
      </c>
    </row>
    <row r="2659" spans="1:6" s="4" customFormat="1" ht="12">
      <c r="A2659" s="106">
        <v>540806</v>
      </c>
      <c r="B2659" s="111" t="s">
        <v>213</v>
      </c>
      <c r="C2659" s="103" t="s">
        <v>2051</v>
      </c>
      <c r="D2659" s="111" t="s">
        <v>2052</v>
      </c>
      <c r="E2659" s="133"/>
      <c r="F2659" s="35">
        <v>107901</v>
      </c>
    </row>
    <row r="2660" spans="1:6" s="4" customFormat="1" ht="12">
      <c r="A2660" s="106">
        <v>540806</v>
      </c>
      <c r="B2660" s="111" t="s">
        <v>213</v>
      </c>
      <c r="C2660" s="106" t="s">
        <v>2053</v>
      </c>
      <c r="D2660" s="111" t="s">
        <v>2054</v>
      </c>
      <c r="E2660" s="134"/>
      <c r="F2660" s="35">
        <v>109606</v>
      </c>
    </row>
    <row r="2661" spans="1:6" s="4" customFormat="1" ht="12">
      <c r="A2661" s="106">
        <v>540806</v>
      </c>
      <c r="B2661" s="111" t="s">
        <v>213</v>
      </c>
      <c r="C2661" s="106" t="s">
        <v>2055</v>
      </c>
      <c r="D2661" s="111" t="s">
        <v>2056</v>
      </c>
      <c r="E2661" s="134"/>
      <c r="F2661" s="35">
        <v>164429</v>
      </c>
    </row>
    <row r="2662" spans="1:6" s="4" customFormat="1" ht="12">
      <c r="A2662" s="106">
        <v>540806</v>
      </c>
      <c r="B2662" s="111" t="s">
        <v>213</v>
      </c>
      <c r="C2662" s="106" t="s">
        <v>2057</v>
      </c>
      <c r="D2662" s="111" t="s">
        <v>2058</v>
      </c>
      <c r="E2662" s="134"/>
      <c r="F2662" s="35">
        <v>162606</v>
      </c>
    </row>
    <row r="2663" spans="1:6" s="4" customFormat="1" ht="12">
      <c r="A2663" s="106">
        <v>540806</v>
      </c>
      <c r="B2663" s="111" t="s">
        <v>213</v>
      </c>
      <c r="C2663" s="106" t="s">
        <v>2059</v>
      </c>
      <c r="D2663" s="111" t="s">
        <v>2060</v>
      </c>
      <c r="E2663" s="134"/>
      <c r="F2663" s="35">
        <v>83777</v>
      </c>
    </row>
    <row r="2664" spans="1:6" s="4" customFormat="1" ht="12">
      <c r="A2664" s="106">
        <v>540806</v>
      </c>
      <c r="B2664" s="111" t="s">
        <v>213</v>
      </c>
      <c r="C2664" s="106" t="s">
        <v>2061</v>
      </c>
      <c r="D2664" s="111" t="s">
        <v>1284</v>
      </c>
      <c r="E2664" s="134"/>
      <c r="F2664" s="35">
        <v>108825</v>
      </c>
    </row>
    <row r="2665" spans="1:6" s="4" customFormat="1" ht="12">
      <c r="A2665" s="106">
        <v>540806</v>
      </c>
      <c r="B2665" s="111" t="s">
        <v>213</v>
      </c>
      <c r="C2665" s="106" t="s">
        <v>782</v>
      </c>
      <c r="D2665" s="111" t="s">
        <v>2062</v>
      </c>
      <c r="E2665" s="134"/>
      <c r="F2665" s="35">
        <v>140222</v>
      </c>
    </row>
    <row r="2666" spans="1:6" s="4" customFormat="1" ht="12">
      <c r="A2666" s="106">
        <v>540806</v>
      </c>
      <c r="B2666" s="111" t="s">
        <v>213</v>
      </c>
      <c r="C2666" s="106" t="s">
        <v>3243</v>
      </c>
      <c r="D2666" s="111" t="s">
        <v>2063</v>
      </c>
      <c r="E2666" s="134"/>
      <c r="F2666" s="35">
        <v>167053</v>
      </c>
    </row>
    <row r="2667" spans="1:6" s="4" customFormat="1" ht="12">
      <c r="A2667" s="106">
        <v>540806</v>
      </c>
      <c r="B2667" s="111" t="s">
        <v>213</v>
      </c>
      <c r="C2667" s="106" t="s">
        <v>3247</v>
      </c>
      <c r="D2667" s="111" t="s">
        <v>2064</v>
      </c>
      <c r="E2667" s="134"/>
      <c r="F2667" s="35">
        <v>140484</v>
      </c>
    </row>
    <row r="2668" spans="1:6" s="4" customFormat="1" ht="12">
      <c r="A2668" s="106">
        <v>540806</v>
      </c>
      <c r="B2668" s="111" t="s">
        <v>213</v>
      </c>
      <c r="C2668" s="106" t="s">
        <v>3251</v>
      </c>
      <c r="D2668" s="111" t="s">
        <v>2065</v>
      </c>
      <c r="E2668" s="134"/>
      <c r="F2668" s="35">
        <v>349315</v>
      </c>
    </row>
    <row r="2669" spans="1:6" s="4" customFormat="1" ht="12">
      <c r="A2669" s="106">
        <v>540806</v>
      </c>
      <c r="B2669" s="111" t="s">
        <v>213</v>
      </c>
      <c r="C2669" s="106" t="s">
        <v>3255</v>
      </c>
      <c r="D2669" s="111" t="s">
        <v>2066</v>
      </c>
      <c r="E2669" s="134"/>
      <c r="F2669" s="35">
        <v>307645</v>
      </c>
    </row>
    <row r="2670" spans="1:6" s="4" customFormat="1" ht="12">
      <c r="A2670" s="106">
        <v>540806</v>
      </c>
      <c r="B2670" s="111" t="s">
        <v>213</v>
      </c>
      <c r="C2670" s="106" t="s">
        <v>3260</v>
      </c>
      <c r="D2670" s="111" t="s">
        <v>2067</v>
      </c>
      <c r="E2670" s="134"/>
      <c r="F2670" s="35">
        <v>184822</v>
      </c>
    </row>
    <row r="2671" spans="1:6" s="4" customFormat="1" ht="12">
      <c r="A2671" s="106">
        <v>540806</v>
      </c>
      <c r="B2671" s="111" t="s">
        <v>213</v>
      </c>
      <c r="C2671" s="106" t="s">
        <v>3280</v>
      </c>
      <c r="D2671" s="111" t="s">
        <v>2068</v>
      </c>
      <c r="E2671" s="134"/>
      <c r="F2671" s="35">
        <v>245749</v>
      </c>
    </row>
    <row r="2672" spans="1:6" s="4" customFormat="1" ht="12">
      <c r="A2672" s="106">
        <v>540806</v>
      </c>
      <c r="B2672" s="111" t="s">
        <v>213</v>
      </c>
      <c r="C2672" s="106" t="s">
        <v>3291</v>
      </c>
      <c r="D2672" s="111" t="s">
        <v>2069</v>
      </c>
      <c r="E2672" s="134"/>
      <c r="F2672" s="35">
        <v>177927</v>
      </c>
    </row>
    <row r="2673" spans="1:6" s="4" customFormat="1" ht="12">
      <c r="A2673" s="106">
        <v>540806</v>
      </c>
      <c r="B2673" s="111" t="s">
        <v>213</v>
      </c>
      <c r="C2673" s="106" t="s">
        <v>3294</v>
      </c>
      <c r="D2673" s="111" t="s">
        <v>2070</v>
      </c>
      <c r="E2673" s="134"/>
      <c r="F2673" s="35">
        <v>197886</v>
      </c>
    </row>
    <row r="2674" spans="1:6" s="4" customFormat="1" ht="12">
      <c r="A2674" s="106">
        <v>540806</v>
      </c>
      <c r="B2674" s="111" t="s">
        <v>213</v>
      </c>
      <c r="C2674" s="106" t="s">
        <v>3296</v>
      </c>
      <c r="D2674" s="111" t="s">
        <v>2071</v>
      </c>
      <c r="E2674" s="134"/>
      <c r="F2674" s="35">
        <v>88960</v>
      </c>
    </row>
    <row r="2675" spans="1:6" s="4" customFormat="1" ht="12">
      <c r="A2675" s="106">
        <v>540806</v>
      </c>
      <c r="B2675" s="111" t="s">
        <v>213</v>
      </c>
      <c r="C2675" s="106" t="s">
        <v>2072</v>
      </c>
      <c r="D2675" s="111" t="s">
        <v>2073</v>
      </c>
      <c r="E2675" s="134"/>
      <c r="F2675" s="35">
        <v>83538</v>
      </c>
    </row>
    <row r="2676" spans="1:6" s="4" customFormat="1" ht="12">
      <c r="A2676" s="106">
        <v>540806</v>
      </c>
      <c r="B2676" s="111" t="s">
        <v>213</v>
      </c>
      <c r="C2676" s="106" t="s">
        <v>3303</v>
      </c>
      <c r="D2676" s="111" t="s">
        <v>2074</v>
      </c>
      <c r="E2676" s="134"/>
      <c r="F2676" s="35">
        <v>70471</v>
      </c>
    </row>
    <row r="2677" spans="1:6" s="4" customFormat="1" ht="12">
      <c r="A2677" s="106">
        <v>540806</v>
      </c>
      <c r="B2677" s="111" t="s">
        <v>213</v>
      </c>
      <c r="C2677" s="106" t="s">
        <v>3306</v>
      </c>
      <c r="D2677" s="111" t="s">
        <v>2075</v>
      </c>
      <c r="E2677" s="134"/>
      <c r="F2677" s="35">
        <v>196289</v>
      </c>
    </row>
    <row r="2678" spans="1:6" s="4" customFormat="1" ht="12">
      <c r="A2678" s="106">
        <v>540806</v>
      </c>
      <c r="B2678" s="111" t="s">
        <v>213</v>
      </c>
      <c r="C2678" s="106" t="s">
        <v>3320</v>
      </c>
      <c r="D2678" s="111" t="s">
        <v>2076</v>
      </c>
      <c r="E2678" s="134"/>
      <c r="F2678" s="35">
        <v>120679</v>
      </c>
    </row>
    <row r="2679" spans="1:6" s="4" customFormat="1" ht="12">
      <c r="A2679" s="106">
        <v>540806</v>
      </c>
      <c r="B2679" s="111" t="s">
        <v>213</v>
      </c>
      <c r="C2679" s="106" t="s">
        <v>2077</v>
      </c>
      <c r="D2679" s="111" t="s">
        <v>2078</v>
      </c>
      <c r="E2679" s="134"/>
      <c r="F2679" s="35">
        <v>124648</v>
      </c>
    </row>
    <row r="2680" spans="1:6" s="4" customFormat="1" ht="12">
      <c r="A2680" s="106">
        <v>540806</v>
      </c>
      <c r="B2680" s="111" t="s">
        <v>213</v>
      </c>
      <c r="C2680" s="106" t="s">
        <v>3325</v>
      </c>
      <c r="D2680" s="111" t="s">
        <v>2079</v>
      </c>
      <c r="E2680" s="134"/>
      <c r="F2680" s="35">
        <v>186714</v>
      </c>
    </row>
    <row r="2681" spans="1:6" s="4" customFormat="1" ht="12">
      <c r="A2681" s="106">
        <v>540806</v>
      </c>
      <c r="B2681" s="111" t="s">
        <v>213</v>
      </c>
      <c r="C2681" s="106" t="s">
        <v>3332</v>
      </c>
      <c r="D2681" s="111" t="s">
        <v>2080</v>
      </c>
      <c r="E2681" s="134"/>
      <c r="F2681" s="35">
        <v>72094</v>
      </c>
    </row>
    <row r="2682" spans="1:6" s="4" customFormat="1" ht="12">
      <c r="A2682" s="106">
        <v>540806</v>
      </c>
      <c r="B2682" s="111" t="s">
        <v>213</v>
      </c>
      <c r="C2682" s="106" t="s">
        <v>3336</v>
      </c>
      <c r="D2682" s="111" t="s">
        <v>2081</v>
      </c>
      <c r="E2682" s="134"/>
      <c r="F2682" s="35">
        <v>39495</v>
      </c>
    </row>
    <row r="2683" spans="1:6" s="4" customFormat="1" ht="12">
      <c r="A2683" s="106">
        <v>540806</v>
      </c>
      <c r="B2683" s="111" t="s">
        <v>213</v>
      </c>
      <c r="C2683" s="106" t="s">
        <v>3348</v>
      </c>
      <c r="D2683" s="111" t="s">
        <v>2082</v>
      </c>
      <c r="E2683" s="134"/>
      <c r="F2683" s="35">
        <v>195338</v>
      </c>
    </row>
    <row r="2684" spans="1:6" s="4" customFormat="1" ht="12">
      <c r="A2684" s="106">
        <v>540806</v>
      </c>
      <c r="B2684" s="111" t="s">
        <v>213</v>
      </c>
      <c r="C2684" s="106" t="s">
        <v>3350</v>
      </c>
      <c r="D2684" s="111" t="s">
        <v>2083</v>
      </c>
      <c r="E2684" s="134"/>
      <c r="F2684" s="35">
        <v>347375</v>
      </c>
    </row>
    <row r="2685" spans="1:6" s="4" customFormat="1" ht="12">
      <c r="A2685" s="106">
        <v>540806</v>
      </c>
      <c r="B2685" s="111" t="s">
        <v>213</v>
      </c>
      <c r="C2685" s="106" t="s">
        <v>2084</v>
      </c>
      <c r="D2685" s="111" t="s">
        <v>2085</v>
      </c>
      <c r="E2685" s="134"/>
      <c r="F2685" s="35">
        <v>100516</v>
      </c>
    </row>
    <row r="2686" spans="1:6" s="4" customFormat="1" ht="12">
      <c r="A2686" s="106">
        <v>540806</v>
      </c>
      <c r="B2686" s="111" t="s">
        <v>213</v>
      </c>
      <c r="C2686" s="106" t="s">
        <v>3373</v>
      </c>
      <c r="D2686" s="111" t="s">
        <v>2086</v>
      </c>
      <c r="E2686" s="134"/>
      <c r="F2686" s="35">
        <v>163607</v>
      </c>
    </row>
    <row r="2687" spans="1:6" s="4" customFormat="1" ht="12">
      <c r="A2687" s="106">
        <v>540806</v>
      </c>
      <c r="B2687" s="111" t="s">
        <v>213</v>
      </c>
      <c r="C2687" s="106" t="s">
        <v>3375</v>
      </c>
      <c r="D2687" s="111" t="s">
        <v>2087</v>
      </c>
      <c r="E2687" s="134"/>
      <c r="F2687" s="35">
        <v>98449</v>
      </c>
    </row>
    <row r="2688" spans="1:6" s="4" customFormat="1" ht="12">
      <c r="A2688" s="106">
        <v>540806</v>
      </c>
      <c r="B2688" s="111" t="s">
        <v>213</v>
      </c>
      <c r="C2688" s="106" t="s">
        <v>3420</v>
      </c>
      <c r="D2688" s="111" t="s">
        <v>2088</v>
      </c>
      <c r="E2688" s="134"/>
      <c r="F2688" s="35">
        <v>423468</v>
      </c>
    </row>
    <row r="2689" spans="1:6" s="4" customFormat="1" ht="12">
      <c r="A2689" s="106">
        <v>540806</v>
      </c>
      <c r="B2689" s="111" t="s">
        <v>213</v>
      </c>
      <c r="C2689" s="106" t="s">
        <v>3378</v>
      </c>
      <c r="D2689" s="111" t="s">
        <v>2089</v>
      </c>
      <c r="E2689" s="134"/>
      <c r="F2689" s="35">
        <v>127859</v>
      </c>
    </row>
    <row r="2690" spans="1:6" s="4" customFormat="1" ht="12">
      <c r="A2690" s="106">
        <v>540806</v>
      </c>
      <c r="B2690" s="111" t="s">
        <v>213</v>
      </c>
      <c r="C2690" s="106" t="s">
        <v>3389</v>
      </c>
      <c r="D2690" s="111" t="s">
        <v>2090</v>
      </c>
      <c r="E2690" s="134"/>
      <c r="F2690" s="35">
        <v>65217</v>
      </c>
    </row>
    <row r="2691" spans="1:6" s="4" customFormat="1" ht="12">
      <c r="A2691" s="106">
        <v>540806</v>
      </c>
      <c r="B2691" s="111" t="s">
        <v>213</v>
      </c>
      <c r="C2691" s="106" t="s">
        <v>3407</v>
      </c>
      <c r="D2691" s="111" t="s">
        <v>2091</v>
      </c>
      <c r="E2691" s="134"/>
      <c r="F2691" s="35">
        <v>107150</v>
      </c>
    </row>
    <row r="2692" spans="1:6" s="4" customFormat="1" ht="12">
      <c r="A2692" s="106">
        <v>540806</v>
      </c>
      <c r="B2692" s="111" t="s">
        <v>213</v>
      </c>
      <c r="C2692" s="106" t="s">
        <v>3412</v>
      </c>
      <c r="D2692" s="111" t="s">
        <v>2092</v>
      </c>
      <c r="E2692" s="134"/>
      <c r="F2692" s="35">
        <v>66688</v>
      </c>
    </row>
    <row r="2693" spans="1:6" s="4" customFormat="1" ht="12">
      <c r="A2693" s="106">
        <v>540806</v>
      </c>
      <c r="B2693" s="111" t="s">
        <v>213</v>
      </c>
      <c r="C2693" s="106" t="s">
        <v>1005</v>
      </c>
      <c r="D2693" s="111" t="s">
        <v>2093</v>
      </c>
      <c r="E2693" s="134"/>
      <c r="F2693" s="35">
        <v>37083</v>
      </c>
    </row>
    <row r="2694" spans="1:6" s="4" customFormat="1" ht="12">
      <c r="A2694" s="106">
        <v>540806</v>
      </c>
      <c r="B2694" s="111" t="s">
        <v>213</v>
      </c>
      <c r="C2694" s="103" t="s">
        <v>1012</v>
      </c>
      <c r="D2694" s="111" t="s">
        <v>2094</v>
      </c>
      <c r="E2694" s="133"/>
      <c r="F2694" s="35">
        <v>240114</v>
      </c>
    </row>
    <row r="2695" spans="1:6" s="4" customFormat="1" ht="12">
      <c r="A2695" s="106">
        <v>540806</v>
      </c>
      <c r="B2695" s="111" t="s">
        <v>213</v>
      </c>
      <c r="C2695" s="106" t="s">
        <v>1018</v>
      </c>
      <c r="D2695" s="111" t="s">
        <v>2095</v>
      </c>
      <c r="E2695" s="134"/>
      <c r="F2695" s="35">
        <v>327392</v>
      </c>
    </row>
    <row r="2696" spans="1:6" s="4" customFormat="1" ht="12">
      <c r="A2696" s="106">
        <v>540806</v>
      </c>
      <c r="B2696" s="111" t="s">
        <v>213</v>
      </c>
      <c r="C2696" s="106" t="s">
        <v>1020</v>
      </c>
      <c r="D2696" s="111" t="s">
        <v>2096</v>
      </c>
      <c r="E2696" s="134"/>
      <c r="F2696" s="35">
        <v>226746</v>
      </c>
    </row>
    <row r="2697" spans="1:6" s="4" customFormat="1" ht="12">
      <c r="A2697" s="106">
        <v>540806</v>
      </c>
      <c r="B2697" s="111" t="s">
        <v>213</v>
      </c>
      <c r="C2697" s="106" t="s">
        <v>1025</v>
      </c>
      <c r="D2697" s="111" t="s">
        <v>2097</v>
      </c>
      <c r="E2697" s="134"/>
      <c r="F2697" s="35">
        <v>292475</v>
      </c>
    </row>
    <row r="2698" spans="1:6" s="4" customFormat="1" ht="12">
      <c r="A2698" s="106">
        <v>540806</v>
      </c>
      <c r="B2698" s="111" t="s">
        <v>213</v>
      </c>
      <c r="C2698" s="106" t="s">
        <v>2098</v>
      </c>
      <c r="D2698" s="111" t="s">
        <v>2099</v>
      </c>
      <c r="E2698" s="134"/>
      <c r="F2698" s="35">
        <v>86288</v>
      </c>
    </row>
    <row r="2699" spans="1:6" s="4" customFormat="1" ht="12">
      <c r="A2699" s="106">
        <v>540806</v>
      </c>
      <c r="B2699" s="111" t="s">
        <v>213</v>
      </c>
      <c r="C2699" s="106" t="s">
        <v>1041</v>
      </c>
      <c r="D2699" s="111" t="s">
        <v>2100</v>
      </c>
      <c r="E2699" s="134"/>
      <c r="F2699" s="35">
        <v>1053896</v>
      </c>
    </row>
    <row r="2700" spans="1:6" s="4" customFormat="1" ht="12">
      <c r="A2700" s="106">
        <v>540806</v>
      </c>
      <c r="B2700" s="111" t="s">
        <v>213</v>
      </c>
      <c r="C2700" s="106">
        <v>210127001</v>
      </c>
      <c r="D2700" s="111" t="s">
        <v>2101</v>
      </c>
      <c r="E2700" s="134"/>
      <c r="F2700" s="35">
        <v>2675415</v>
      </c>
    </row>
    <row r="2701" spans="1:6" s="4" customFormat="1" ht="12">
      <c r="A2701" s="106">
        <v>540806</v>
      </c>
      <c r="B2701" s="111" t="s">
        <v>213</v>
      </c>
      <c r="C2701" s="103" t="s">
        <v>2102</v>
      </c>
      <c r="D2701" s="111" t="s">
        <v>2103</v>
      </c>
      <c r="E2701" s="133"/>
      <c r="F2701" s="35">
        <v>399211</v>
      </c>
    </row>
    <row r="2702" spans="1:6" s="4" customFormat="1" ht="12">
      <c r="A2702" s="106">
        <v>540806</v>
      </c>
      <c r="B2702" s="111" t="s">
        <v>213</v>
      </c>
      <c r="C2702" s="103" t="s">
        <v>2104</v>
      </c>
      <c r="D2702" s="111" t="s">
        <v>2105</v>
      </c>
      <c r="E2702" s="133"/>
      <c r="F2702" s="35">
        <v>406756</v>
      </c>
    </row>
    <row r="2703" spans="1:6" s="4" customFormat="1" ht="12">
      <c r="A2703" s="106">
        <v>540806</v>
      </c>
      <c r="B2703" s="111" t="s">
        <v>213</v>
      </c>
      <c r="C2703" s="106">
        <v>215027050</v>
      </c>
      <c r="D2703" s="111" t="s">
        <v>2106</v>
      </c>
      <c r="E2703" s="134"/>
      <c r="F2703" s="35">
        <v>190518</v>
      </c>
    </row>
    <row r="2704" spans="1:6" s="4" customFormat="1" ht="12">
      <c r="A2704" s="106">
        <v>540806</v>
      </c>
      <c r="B2704" s="111" t="s">
        <v>213</v>
      </c>
      <c r="C2704" s="103">
        <v>217327073</v>
      </c>
      <c r="D2704" s="111" t="s">
        <v>2107</v>
      </c>
      <c r="E2704" s="133"/>
      <c r="F2704" s="35">
        <v>240543</v>
      </c>
    </row>
    <row r="2705" spans="1:6" s="4" customFormat="1" ht="12">
      <c r="A2705" s="106">
        <v>540806</v>
      </c>
      <c r="B2705" s="111" t="s">
        <v>213</v>
      </c>
      <c r="C2705" s="103" t="s">
        <v>317</v>
      </c>
      <c r="D2705" s="111" t="s">
        <v>2108</v>
      </c>
      <c r="E2705" s="133"/>
      <c r="F2705" s="35">
        <v>183327</v>
      </c>
    </row>
    <row r="2706" spans="1:6" s="4" customFormat="1" ht="12">
      <c r="A2706" s="106">
        <v>540806</v>
      </c>
      <c r="B2706" s="111" t="s">
        <v>213</v>
      </c>
      <c r="C2706" s="106" t="s">
        <v>2109</v>
      </c>
      <c r="D2706" s="111" t="s">
        <v>2110</v>
      </c>
      <c r="E2706" s="134"/>
      <c r="F2706" s="35">
        <v>340320</v>
      </c>
    </row>
    <row r="2707" spans="1:6" s="4" customFormat="1" ht="12">
      <c r="A2707" s="106">
        <v>540806</v>
      </c>
      <c r="B2707" s="111" t="s">
        <v>213</v>
      </c>
      <c r="C2707" s="106" t="s">
        <v>2111</v>
      </c>
      <c r="D2707" s="111" t="s">
        <v>2112</v>
      </c>
      <c r="E2707" s="134"/>
      <c r="F2707" s="35">
        <v>269726</v>
      </c>
    </row>
    <row r="2708" spans="1:6" s="4" customFormat="1" ht="12">
      <c r="A2708" s="106">
        <v>540806</v>
      </c>
      <c r="B2708" s="111" t="s">
        <v>213</v>
      </c>
      <c r="C2708" s="106" t="s">
        <v>2113</v>
      </c>
      <c r="D2708" s="111" t="s">
        <v>2114</v>
      </c>
      <c r="E2708" s="134"/>
      <c r="F2708" s="35">
        <v>159530</v>
      </c>
    </row>
    <row r="2709" spans="1:6" s="4" customFormat="1" ht="12">
      <c r="A2709" s="106">
        <v>540806</v>
      </c>
      <c r="B2709" s="111" t="s">
        <v>213</v>
      </c>
      <c r="C2709" s="103" t="s">
        <v>2115</v>
      </c>
      <c r="D2709" s="111" t="s">
        <v>2116</v>
      </c>
      <c r="E2709" s="133"/>
      <c r="F2709" s="35">
        <v>154107</v>
      </c>
    </row>
    <row r="2710" spans="1:6" s="4" customFormat="1" ht="12">
      <c r="A2710" s="106">
        <v>540806</v>
      </c>
      <c r="B2710" s="111" t="s">
        <v>213</v>
      </c>
      <c r="C2710" s="106" t="s">
        <v>2117</v>
      </c>
      <c r="D2710" s="111" t="s">
        <v>2118</v>
      </c>
      <c r="E2710" s="134"/>
      <c r="F2710" s="35">
        <v>96367</v>
      </c>
    </row>
    <row r="2711" spans="1:6" s="4" customFormat="1" ht="12">
      <c r="A2711" s="106">
        <v>540806</v>
      </c>
      <c r="B2711" s="111" t="s">
        <v>213</v>
      </c>
      <c r="C2711" s="106" t="s">
        <v>477</v>
      </c>
      <c r="D2711" s="111" t="s">
        <v>2119</v>
      </c>
      <c r="E2711" s="134"/>
      <c r="F2711" s="35">
        <v>323155</v>
      </c>
    </row>
    <row r="2712" spans="1:6" s="4" customFormat="1" ht="12">
      <c r="A2712" s="106">
        <v>540806</v>
      </c>
      <c r="B2712" s="111" t="s">
        <v>213</v>
      </c>
      <c r="C2712" s="106" t="s">
        <v>2120</v>
      </c>
      <c r="D2712" s="111" t="s">
        <v>2121</v>
      </c>
      <c r="E2712" s="134"/>
      <c r="F2712" s="35">
        <v>125241</v>
      </c>
    </row>
    <row r="2713" spans="1:6" s="4" customFormat="1" ht="12">
      <c r="A2713" s="106">
        <v>540806</v>
      </c>
      <c r="B2713" s="111" t="s">
        <v>213</v>
      </c>
      <c r="C2713" s="106" t="s">
        <v>1054</v>
      </c>
      <c r="D2713" s="111" t="s">
        <v>2122</v>
      </c>
      <c r="E2713" s="134"/>
      <c r="F2713" s="35">
        <v>269412</v>
      </c>
    </row>
    <row r="2714" spans="1:6" s="4" customFormat="1" ht="12">
      <c r="A2714" s="106">
        <v>540806</v>
      </c>
      <c r="B2714" s="111" t="s">
        <v>213</v>
      </c>
      <c r="C2714" s="106">
        <v>216127361</v>
      </c>
      <c r="D2714" s="111" t="s">
        <v>2123</v>
      </c>
      <c r="E2714" s="134"/>
      <c r="F2714" s="35">
        <v>676834</v>
      </c>
    </row>
    <row r="2715" spans="1:6" s="4" customFormat="1" ht="12">
      <c r="A2715" s="106">
        <v>540806</v>
      </c>
      <c r="B2715" s="111" t="s">
        <v>213</v>
      </c>
      <c r="C2715" s="106">
        <v>217227372</v>
      </c>
      <c r="D2715" s="111" t="s">
        <v>2124</v>
      </c>
      <c r="E2715" s="134"/>
      <c r="F2715" s="35">
        <v>110988</v>
      </c>
    </row>
    <row r="2716" spans="1:6" s="4" customFormat="1" ht="12">
      <c r="A2716" s="106">
        <v>540806</v>
      </c>
      <c r="B2716" s="111" t="s">
        <v>213</v>
      </c>
      <c r="C2716" s="106">
        <v>211327413</v>
      </c>
      <c r="D2716" s="111" t="s">
        <v>2125</v>
      </c>
      <c r="E2716" s="134"/>
      <c r="F2716" s="35">
        <v>198728</v>
      </c>
    </row>
    <row r="2717" spans="1:6" s="4" customFormat="1" ht="12">
      <c r="A2717" s="106">
        <v>540806</v>
      </c>
      <c r="B2717" s="111" t="s">
        <v>213</v>
      </c>
      <c r="C2717" s="103">
        <v>212527425</v>
      </c>
      <c r="D2717" s="111" t="s">
        <v>2126</v>
      </c>
      <c r="E2717" s="133"/>
      <c r="F2717" s="35">
        <v>190196</v>
      </c>
    </row>
    <row r="2718" spans="1:6" s="4" customFormat="1" ht="12">
      <c r="A2718" s="106">
        <v>540806</v>
      </c>
      <c r="B2718" s="111" t="s">
        <v>213</v>
      </c>
      <c r="C2718" s="103">
        <v>213027430</v>
      </c>
      <c r="D2718" s="111" t="s">
        <v>2127</v>
      </c>
      <c r="E2718" s="133"/>
      <c r="F2718" s="35">
        <v>279274</v>
      </c>
    </row>
    <row r="2719" spans="1:6" s="4" customFormat="1" ht="12">
      <c r="A2719" s="106">
        <v>540806</v>
      </c>
      <c r="B2719" s="111" t="s">
        <v>213</v>
      </c>
      <c r="C2719" s="103">
        <v>215027450</v>
      </c>
      <c r="D2719" s="111" t="s">
        <v>2128</v>
      </c>
      <c r="E2719" s="133"/>
      <c r="F2719" s="35">
        <v>221329</v>
      </c>
    </row>
    <row r="2720" spans="1:6" s="4" customFormat="1" ht="12">
      <c r="A2720" s="106">
        <v>540806</v>
      </c>
      <c r="B2720" s="111" t="s">
        <v>213</v>
      </c>
      <c r="C2720" s="103">
        <v>219127491</v>
      </c>
      <c r="D2720" s="111" t="s">
        <v>2129</v>
      </c>
      <c r="E2720" s="133"/>
      <c r="F2720" s="35">
        <v>133006</v>
      </c>
    </row>
    <row r="2721" spans="1:6" s="4" customFormat="1" ht="12">
      <c r="A2721" s="106">
        <v>540806</v>
      </c>
      <c r="B2721" s="111" t="s">
        <v>213</v>
      </c>
      <c r="C2721" s="106">
        <v>219527495</v>
      </c>
      <c r="D2721" s="111" t="s">
        <v>2130</v>
      </c>
      <c r="E2721" s="134"/>
      <c r="F2721" s="35">
        <v>145554</v>
      </c>
    </row>
    <row r="2722" spans="1:6" s="4" customFormat="1" ht="12">
      <c r="A2722" s="106">
        <v>540806</v>
      </c>
      <c r="B2722" s="111" t="s">
        <v>213</v>
      </c>
      <c r="C2722" s="106">
        <v>218027580</v>
      </c>
      <c r="D2722" s="111" t="s">
        <v>2131</v>
      </c>
      <c r="E2722" s="134"/>
      <c r="F2722" s="35">
        <v>126050</v>
      </c>
    </row>
    <row r="2723" spans="1:6" s="4" customFormat="1" ht="12">
      <c r="A2723" s="106">
        <v>540806</v>
      </c>
      <c r="B2723" s="111" t="s">
        <v>213</v>
      </c>
      <c r="C2723" s="106">
        <v>210027600</v>
      </c>
      <c r="D2723" s="111" t="s">
        <v>2132</v>
      </c>
      <c r="E2723" s="134"/>
      <c r="F2723" s="35">
        <v>188768</v>
      </c>
    </row>
    <row r="2724" spans="1:6" s="4" customFormat="1" ht="12">
      <c r="A2724" s="106">
        <v>540806</v>
      </c>
      <c r="B2724" s="111" t="s">
        <v>213</v>
      </c>
      <c r="C2724" s="106">
        <v>211417614</v>
      </c>
      <c r="D2724" s="111" t="s">
        <v>2133</v>
      </c>
      <c r="E2724" s="134"/>
      <c r="F2724" s="35">
        <v>555403</v>
      </c>
    </row>
    <row r="2725" spans="1:6" s="4" customFormat="1" ht="12">
      <c r="A2725" s="106">
        <v>540806</v>
      </c>
      <c r="B2725" s="111" t="s">
        <v>213</v>
      </c>
      <c r="C2725" s="106">
        <v>216027660</v>
      </c>
      <c r="D2725" s="111" t="s">
        <v>2134</v>
      </c>
      <c r="E2725" s="134"/>
      <c r="F2725" s="35">
        <v>126381</v>
      </c>
    </row>
    <row r="2726" spans="1:6" s="4" customFormat="1" ht="12">
      <c r="A2726" s="106">
        <v>540806</v>
      </c>
      <c r="B2726" s="111" t="s">
        <v>213</v>
      </c>
      <c r="C2726" s="106">
        <v>214527745</v>
      </c>
      <c r="D2726" s="111" t="s">
        <v>2135</v>
      </c>
      <c r="E2726" s="134"/>
      <c r="F2726" s="35">
        <v>86255</v>
      </c>
    </row>
    <row r="2727" spans="1:6" s="4" customFormat="1" ht="12">
      <c r="A2727" s="106">
        <v>540806</v>
      </c>
      <c r="B2727" s="111" t="s">
        <v>213</v>
      </c>
      <c r="C2727" s="103" t="s">
        <v>3308</v>
      </c>
      <c r="D2727" s="111" t="s">
        <v>2136</v>
      </c>
      <c r="E2727" s="133"/>
      <c r="F2727" s="35">
        <v>400995</v>
      </c>
    </row>
    <row r="2728" spans="1:6" s="4" customFormat="1" ht="12">
      <c r="A2728" s="106">
        <v>540806</v>
      </c>
      <c r="B2728" s="111" t="s">
        <v>213</v>
      </c>
      <c r="C2728" s="103">
        <v>210027800</v>
      </c>
      <c r="D2728" s="111" t="s">
        <v>2137</v>
      </c>
      <c r="E2728" s="133"/>
      <c r="F2728" s="35">
        <v>260904</v>
      </c>
    </row>
    <row r="2729" spans="1:6" s="4" customFormat="1" ht="12">
      <c r="A2729" s="106">
        <v>540806</v>
      </c>
      <c r="B2729" s="111" t="s">
        <v>213</v>
      </c>
      <c r="C2729" s="103">
        <v>211027810</v>
      </c>
      <c r="D2729" s="111" t="s">
        <v>2138</v>
      </c>
      <c r="E2729" s="133"/>
      <c r="F2729" s="35">
        <v>140138</v>
      </c>
    </row>
    <row r="2730" spans="1:6" s="4" customFormat="1" ht="12">
      <c r="A2730" s="106">
        <v>540806</v>
      </c>
      <c r="B2730" s="111" t="s">
        <v>213</v>
      </c>
      <c r="C2730" s="106" t="s">
        <v>2139</v>
      </c>
      <c r="D2730" s="111" t="s">
        <v>2140</v>
      </c>
      <c r="E2730" s="134"/>
      <c r="F2730" s="35">
        <v>321972</v>
      </c>
    </row>
    <row r="2731" spans="1:6" s="4" customFormat="1" ht="12">
      <c r="A2731" s="106">
        <v>540806</v>
      </c>
      <c r="B2731" s="111" t="s">
        <v>213</v>
      </c>
      <c r="C2731" s="106" t="s">
        <v>2141</v>
      </c>
      <c r="D2731" s="111" t="s">
        <v>2142</v>
      </c>
      <c r="E2731" s="134"/>
      <c r="F2731" s="35">
        <v>153000</v>
      </c>
    </row>
    <row r="2732" spans="1:6" s="4" customFormat="1" ht="12">
      <c r="A2732" s="106">
        <v>540806</v>
      </c>
      <c r="B2732" s="111" t="s">
        <v>213</v>
      </c>
      <c r="C2732" s="106" t="s">
        <v>2143</v>
      </c>
      <c r="D2732" s="111" t="s">
        <v>2144</v>
      </c>
      <c r="E2732" s="134"/>
      <c r="F2732" s="35">
        <v>260260</v>
      </c>
    </row>
    <row r="2733" spans="1:6" s="4" customFormat="1" ht="12">
      <c r="A2733" s="106">
        <v>540806</v>
      </c>
      <c r="B2733" s="111" t="s">
        <v>213</v>
      </c>
      <c r="C2733" s="106" t="s">
        <v>2145</v>
      </c>
      <c r="D2733" s="111" t="s">
        <v>2146</v>
      </c>
      <c r="E2733" s="134"/>
      <c r="F2733" s="35">
        <v>343209</v>
      </c>
    </row>
    <row r="2734" spans="1:6" s="4" customFormat="1" ht="12">
      <c r="A2734" s="106">
        <v>540806</v>
      </c>
      <c r="B2734" s="111" t="s">
        <v>213</v>
      </c>
      <c r="C2734" s="106" t="s">
        <v>2147</v>
      </c>
      <c r="D2734" s="111" t="s">
        <v>2148</v>
      </c>
      <c r="E2734" s="134"/>
      <c r="F2734" s="35">
        <v>81962</v>
      </c>
    </row>
    <row r="2735" spans="1:6" s="4" customFormat="1" ht="12">
      <c r="A2735" s="106">
        <v>540806</v>
      </c>
      <c r="B2735" s="111" t="s">
        <v>213</v>
      </c>
      <c r="C2735" s="106" t="s">
        <v>321</v>
      </c>
      <c r="D2735" s="111" t="s">
        <v>2149</v>
      </c>
      <c r="E2735" s="134"/>
      <c r="F2735" s="35">
        <v>118870</v>
      </c>
    </row>
    <row r="2736" spans="1:6" s="4" customFormat="1" ht="12">
      <c r="A2736" s="106">
        <v>540806</v>
      </c>
      <c r="B2736" s="111" t="s">
        <v>213</v>
      </c>
      <c r="C2736" s="106" t="s">
        <v>396</v>
      </c>
      <c r="D2736" s="111" t="s">
        <v>2150</v>
      </c>
      <c r="E2736" s="134"/>
      <c r="F2736" s="35">
        <v>430518</v>
      </c>
    </row>
    <row r="2737" spans="1:6" s="4" customFormat="1" ht="12">
      <c r="A2737" s="106">
        <v>540806</v>
      </c>
      <c r="B2737" s="111" t="s">
        <v>213</v>
      </c>
      <c r="C2737" s="106" t="s">
        <v>2151</v>
      </c>
      <c r="D2737" s="111" t="s">
        <v>2152</v>
      </c>
      <c r="E2737" s="134"/>
      <c r="F2737" s="35">
        <v>170114</v>
      </c>
    </row>
    <row r="2738" spans="1:6" s="4" customFormat="1" ht="12">
      <c r="A2738" s="106">
        <v>540806</v>
      </c>
      <c r="B2738" s="111" t="s">
        <v>213</v>
      </c>
      <c r="C2738" s="106">
        <v>214441244</v>
      </c>
      <c r="D2738" s="111" t="s">
        <v>2153</v>
      </c>
      <c r="E2738" s="134"/>
      <c r="F2738" s="35">
        <v>59121</v>
      </c>
    </row>
    <row r="2739" spans="1:6" s="4" customFormat="1" ht="12">
      <c r="A2739" s="106">
        <v>540806</v>
      </c>
      <c r="B2739" s="111" t="s">
        <v>213</v>
      </c>
      <c r="C2739" s="106" t="s">
        <v>3006</v>
      </c>
      <c r="D2739" s="111" t="s">
        <v>2154</v>
      </c>
      <c r="E2739" s="134"/>
      <c r="F2739" s="35">
        <v>851836</v>
      </c>
    </row>
    <row r="2740" spans="1:6" s="4" customFormat="1" ht="12">
      <c r="A2740" s="106">
        <v>540806</v>
      </c>
      <c r="B2740" s="111" t="s">
        <v>213</v>
      </c>
      <c r="C2740" s="103" t="s">
        <v>3009</v>
      </c>
      <c r="D2740" s="111" t="s">
        <v>2155</v>
      </c>
      <c r="E2740" s="133"/>
      <c r="F2740" s="35">
        <v>477995</v>
      </c>
    </row>
    <row r="2741" spans="1:6" s="4" customFormat="1" ht="12">
      <c r="A2741" s="106">
        <v>540806</v>
      </c>
      <c r="B2741" s="111" t="s">
        <v>213</v>
      </c>
      <c r="C2741" s="103" t="s">
        <v>3032</v>
      </c>
      <c r="D2741" s="111" t="s">
        <v>1235</v>
      </c>
      <c r="E2741" s="133"/>
      <c r="F2741" s="35">
        <v>287729</v>
      </c>
    </row>
    <row r="2742" spans="1:6" s="4" customFormat="1" ht="12">
      <c r="A2742" s="106">
        <v>540806</v>
      </c>
      <c r="B2742" s="111" t="s">
        <v>213</v>
      </c>
      <c r="C2742" s="103" t="s">
        <v>2156</v>
      </c>
      <c r="D2742" s="111" t="s">
        <v>2157</v>
      </c>
      <c r="E2742" s="133"/>
      <c r="F2742" s="35">
        <v>114561</v>
      </c>
    </row>
    <row r="2743" spans="1:6" s="4" customFormat="1" ht="12">
      <c r="A2743" s="106">
        <v>540806</v>
      </c>
      <c r="B2743" s="111" t="s">
        <v>213</v>
      </c>
      <c r="C2743" s="103" t="s">
        <v>3071</v>
      </c>
      <c r="D2743" s="111" t="s">
        <v>2158</v>
      </c>
      <c r="E2743" s="133"/>
      <c r="F2743" s="35">
        <v>177173</v>
      </c>
    </row>
    <row r="2744" spans="1:6" s="4" customFormat="1" ht="12">
      <c r="A2744" s="106">
        <v>540806</v>
      </c>
      <c r="B2744" s="111" t="s">
        <v>213</v>
      </c>
      <c r="C2744" s="103" t="s">
        <v>3073</v>
      </c>
      <c r="D2744" s="111" t="s">
        <v>2159</v>
      </c>
      <c r="E2744" s="133"/>
      <c r="F2744" s="35">
        <v>309579</v>
      </c>
    </row>
    <row r="2745" spans="1:6" s="4" customFormat="1" ht="12">
      <c r="A2745" s="106">
        <v>540806</v>
      </c>
      <c r="B2745" s="111" t="s">
        <v>213</v>
      </c>
      <c r="C2745" s="103" t="s">
        <v>3096</v>
      </c>
      <c r="D2745" s="111" t="s">
        <v>2160</v>
      </c>
      <c r="E2745" s="133"/>
      <c r="F2745" s="35">
        <v>207962</v>
      </c>
    </row>
    <row r="2746" spans="1:6" s="4" customFormat="1" ht="12">
      <c r="A2746" s="106">
        <v>540806</v>
      </c>
      <c r="B2746" s="111" t="s">
        <v>213</v>
      </c>
      <c r="C2746" s="103" t="s">
        <v>3121</v>
      </c>
      <c r="D2746" s="111" t="s">
        <v>2161</v>
      </c>
      <c r="E2746" s="133"/>
      <c r="F2746" s="35">
        <v>709451</v>
      </c>
    </row>
    <row r="2747" spans="1:6" s="4" customFormat="1" ht="12">
      <c r="A2747" s="106">
        <v>540806</v>
      </c>
      <c r="B2747" s="111" t="s">
        <v>213</v>
      </c>
      <c r="C2747" s="103">
        <v>218341483</v>
      </c>
      <c r="D2747" s="111" t="s">
        <v>2162</v>
      </c>
      <c r="E2747" s="133"/>
      <c r="F2747" s="35">
        <v>167121</v>
      </c>
    </row>
    <row r="2748" spans="1:6" s="4" customFormat="1" ht="12">
      <c r="A2748" s="106">
        <v>540806</v>
      </c>
      <c r="B2748" s="111" t="s">
        <v>213</v>
      </c>
      <c r="C2748" s="103" t="s">
        <v>563</v>
      </c>
      <c r="D2748" s="111" t="s">
        <v>2163</v>
      </c>
      <c r="E2748" s="133"/>
      <c r="F2748" s="35">
        <v>142787</v>
      </c>
    </row>
    <row r="2749" spans="1:6" s="4" customFormat="1" ht="12">
      <c r="A2749" s="106">
        <v>540806</v>
      </c>
      <c r="B2749" s="111" t="s">
        <v>213</v>
      </c>
      <c r="C2749" s="103" t="s">
        <v>577</v>
      </c>
      <c r="D2749" s="111" t="s">
        <v>2164</v>
      </c>
      <c r="E2749" s="133"/>
      <c r="F2749" s="35">
        <v>88674</v>
      </c>
    </row>
    <row r="2750" spans="1:6" s="4" customFormat="1" ht="12">
      <c r="A2750" s="106">
        <v>540806</v>
      </c>
      <c r="B2750" s="111" t="s">
        <v>213</v>
      </c>
      <c r="C2750" s="103" t="s">
        <v>583</v>
      </c>
      <c r="D2750" s="111" t="s">
        <v>2165</v>
      </c>
      <c r="E2750" s="133"/>
      <c r="F2750" s="35">
        <v>326233</v>
      </c>
    </row>
    <row r="2751" spans="1:6" s="4" customFormat="1" ht="12">
      <c r="A2751" s="106">
        <v>540806</v>
      </c>
      <c r="B2751" s="111" t="s">
        <v>213</v>
      </c>
      <c r="C2751" s="103" t="s">
        <v>2166</v>
      </c>
      <c r="D2751" s="111" t="s">
        <v>1566</v>
      </c>
      <c r="E2751" s="133"/>
      <c r="F2751" s="35">
        <v>175527</v>
      </c>
    </row>
    <row r="2752" spans="1:6" s="4" customFormat="1" ht="12">
      <c r="A2752" s="106">
        <v>540806</v>
      </c>
      <c r="B2752" s="111" t="s">
        <v>213</v>
      </c>
      <c r="C2752" s="103">
        <v>214841548</v>
      </c>
      <c r="D2752" s="111" t="s">
        <v>2167</v>
      </c>
      <c r="E2752" s="133"/>
      <c r="F2752" s="35">
        <v>193808</v>
      </c>
    </row>
    <row r="2753" spans="1:6" s="4" customFormat="1" ht="12">
      <c r="A2753" s="106">
        <v>540806</v>
      </c>
      <c r="B2753" s="111" t="s">
        <v>213</v>
      </c>
      <c r="C2753" s="103" t="s">
        <v>631</v>
      </c>
      <c r="D2753" s="111" t="s">
        <v>2168</v>
      </c>
      <c r="E2753" s="133"/>
      <c r="F2753" s="35">
        <v>1403827</v>
      </c>
    </row>
    <row r="2754" spans="1:6" s="4" customFormat="1" ht="12">
      <c r="A2754" s="106">
        <v>540806</v>
      </c>
      <c r="B2754" s="111" t="s">
        <v>213</v>
      </c>
      <c r="C2754" s="103" t="s">
        <v>2169</v>
      </c>
      <c r="D2754" s="111" t="s">
        <v>2170</v>
      </c>
      <c r="E2754" s="133"/>
      <c r="F2754" s="35">
        <v>374700</v>
      </c>
    </row>
    <row r="2755" spans="1:6" s="4" customFormat="1" ht="12">
      <c r="A2755" s="106">
        <v>540806</v>
      </c>
      <c r="B2755" s="111" t="s">
        <v>213</v>
      </c>
      <c r="C2755" s="103" t="s">
        <v>731</v>
      </c>
      <c r="D2755" s="111" t="s">
        <v>2171</v>
      </c>
      <c r="E2755" s="133"/>
      <c r="F2755" s="35">
        <v>150918</v>
      </c>
    </row>
    <row r="2756" spans="1:6" s="4" customFormat="1" ht="12">
      <c r="A2756" s="106">
        <v>540806</v>
      </c>
      <c r="B2756" s="111" t="s">
        <v>213</v>
      </c>
      <c r="C2756" s="103" t="s">
        <v>2172</v>
      </c>
      <c r="D2756" s="111" t="s">
        <v>2173</v>
      </c>
      <c r="E2756" s="133"/>
      <c r="F2756" s="35">
        <v>390213</v>
      </c>
    </row>
    <row r="2757" spans="1:6" s="4" customFormat="1" ht="12">
      <c r="A2757" s="106">
        <v>540806</v>
      </c>
      <c r="B2757" s="111" t="s">
        <v>213</v>
      </c>
      <c r="C2757" s="103" t="s">
        <v>816</v>
      </c>
      <c r="D2757" s="111" t="s">
        <v>1516</v>
      </c>
      <c r="E2757" s="133"/>
      <c r="F2757" s="35">
        <v>172006</v>
      </c>
    </row>
    <row r="2758" spans="1:6" s="4" customFormat="1" ht="12">
      <c r="A2758" s="106">
        <v>540806</v>
      </c>
      <c r="B2758" s="111" t="s">
        <v>213</v>
      </c>
      <c r="C2758" s="103" t="s">
        <v>2174</v>
      </c>
      <c r="D2758" s="111" t="s">
        <v>2175</v>
      </c>
      <c r="E2758" s="133"/>
      <c r="F2758" s="35">
        <v>216807</v>
      </c>
    </row>
    <row r="2759" spans="1:6" s="4" customFormat="1" ht="12">
      <c r="A2759" s="106">
        <v>540806</v>
      </c>
      <c r="B2759" s="111" t="s">
        <v>213</v>
      </c>
      <c r="C2759" s="103">
        <v>219141791</v>
      </c>
      <c r="D2759" s="111" t="s">
        <v>2176</v>
      </c>
      <c r="E2759" s="133"/>
      <c r="F2759" s="35">
        <v>249059</v>
      </c>
    </row>
    <row r="2760" spans="1:6" s="4" customFormat="1" ht="12">
      <c r="A2760" s="106">
        <v>540806</v>
      </c>
      <c r="B2760" s="111" t="s">
        <v>213</v>
      </c>
      <c r="C2760" s="103" t="s">
        <v>3330</v>
      </c>
      <c r="D2760" s="111" t="s">
        <v>2177</v>
      </c>
      <c r="E2760" s="133"/>
      <c r="F2760" s="35">
        <v>151525</v>
      </c>
    </row>
    <row r="2761" spans="1:6" s="4" customFormat="1" ht="12">
      <c r="A2761" s="106">
        <v>540806</v>
      </c>
      <c r="B2761" s="111" t="s">
        <v>213</v>
      </c>
      <c r="C2761" s="103" t="s">
        <v>3322</v>
      </c>
      <c r="D2761" s="111" t="s">
        <v>2178</v>
      </c>
      <c r="E2761" s="133"/>
      <c r="F2761" s="35">
        <v>216377</v>
      </c>
    </row>
    <row r="2762" spans="1:6" s="4" customFormat="1" ht="12">
      <c r="A2762" s="106">
        <v>540806</v>
      </c>
      <c r="B2762" s="111" t="s">
        <v>213</v>
      </c>
      <c r="C2762" s="103" t="s">
        <v>3328</v>
      </c>
      <c r="D2762" s="111" t="s">
        <v>2179</v>
      </c>
      <c r="E2762" s="133"/>
      <c r="F2762" s="35">
        <v>133465</v>
      </c>
    </row>
    <row r="2763" spans="1:6" s="4" customFormat="1" ht="12">
      <c r="A2763" s="106">
        <v>540806</v>
      </c>
      <c r="B2763" s="111" t="s">
        <v>213</v>
      </c>
      <c r="C2763" s="103" t="s">
        <v>3341</v>
      </c>
      <c r="D2763" s="111" t="s">
        <v>2180</v>
      </c>
      <c r="E2763" s="133"/>
      <c r="F2763" s="35">
        <v>276174</v>
      </c>
    </row>
    <row r="2764" spans="1:6" s="4" customFormat="1" ht="12">
      <c r="A2764" s="106">
        <v>540806</v>
      </c>
      <c r="B2764" s="111" t="s">
        <v>213</v>
      </c>
      <c r="C2764" s="103" t="s">
        <v>1016</v>
      </c>
      <c r="D2764" s="111" t="s">
        <v>2181</v>
      </c>
      <c r="E2764" s="133"/>
      <c r="F2764" s="35">
        <v>126474</v>
      </c>
    </row>
    <row r="2765" spans="1:6" s="4" customFormat="1" ht="12">
      <c r="A2765" s="106">
        <v>540806</v>
      </c>
      <c r="B2765" s="111" t="s">
        <v>213</v>
      </c>
      <c r="C2765" s="103" t="s">
        <v>1028</v>
      </c>
      <c r="D2765" s="111" t="s">
        <v>2182</v>
      </c>
      <c r="E2765" s="133"/>
      <c r="F2765" s="35">
        <v>127331</v>
      </c>
    </row>
    <row r="2766" spans="1:6" s="4" customFormat="1" ht="12">
      <c r="A2766" s="106">
        <v>540806</v>
      </c>
      <c r="B2766" s="111" t="s">
        <v>213</v>
      </c>
      <c r="C2766" s="106" t="s">
        <v>700</v>
      </c>
      <c r="D2766" s="111" t="s">
        <v>2183</v>
      </c>
      <c r="E2766" s="134"/>
      <c r="F2766" s="35">
        <v>1881285</v>
      </c>
    </row>
    <row r="2767" spans="1:6" s="4" customFormat="1" ht="12">
      <c r="A2767" s="106">
        <v>540806</v>
      </c>
      <c r="B2767" s="111" t="s">
        <v>213</v>
      </c>
      <c r="C2767" s="106" t="s">
        <v>2184</v>
      </c>
      <c r="D2767" s="111" t="s">
        <v>1576</v>
      </c>
      <c r="E2767" s="134"/>
      <c r="F2767" s="35">
        <v>340636</v>
      </c>
    </row>
    <row r="2768" spans="1:6" s="4" customFormat="1" ht="12">
      <c r="A2768" s="106">
        <v>540806</v>
      </c>
      <c r="B2768" s="111" t="s">
        <v>213</v>
      </c>
      <c r="C2768" s="106" t="s">
        <v>2185</v>
      </c>
      <c r="D2768" s="111" t="s">
        <v>2186</v>
      </c>
      <c r="E2768" s="134"/>
      <c r="F2768" s="35">
        <v>373525</v>
      </c>
    </row>
    <row r="2769" spans="1:6" s="4" customFormat="1" ht="12">
      <c r="A2769" s="106">
        <v>540806</v>
      </c>
      <c r="B2769" s="111" t="s">
        <v>213</v>
      </c>
      <c r="C2769" s="103" t="s">
        <v>2187</v>
      </c>
      <c r="D2769" s="111" t="s">
        <v>2188</v>
      </c>
      <c r="E2769" s="133"/>
      <c r="F2769" s="35">
        <v>376655</v>
      </c>
    </row>
    <row r="2770" spans="1:6" s="4" customFormat="1" ht="12">
      <c r="A2770" s="106">
        <v>540806</v>
      </c>
      <c r="B2770" s="111" t="s">
        <v>213</v>
      </c>
      <c r="C2770" s="106" t="s">
        <v>2189</v>
      </c>
      <c r="D2770" s="111" t="s">
        <v>2190</v>
      </c>
      <c r="E2770" s="134"/>
      <c r="F2770" s="35">
        <v>137363</v>
      </c>
    </row>
    <row r="2771" spans="1:6" s="4" customFormat="1" ht="12">
      <c r="A2771" s="106">
        <v>540806</v>
      </c>
      <c r="B2771" s="111" t="s">
        <v>213</v>
      </c>
      <c r="C2771" s="106" t="s">
        <v>2191</v>
      </c>
      <c r="D2771" s="111" t="s">
        <v>2192</v>
      </c>
      <c r="E2771" s="134"/>
      <c r="F2771" s="35">
        <v>81428</v>
      </c>
    </row>
    <row r="2772" spans="1:6" s="4" customFormat="1" ht="12">
      <c r="A2772" s="106">
        <v>540806</v>
      </c>
      <c r="B2772" s="111" t="s">
        <v>213</v>
      </c>
      <c r="C2772" s="106" t="s">
        <v>2193</v>
      </c>
      <c r="D2772" s="111" t="s">
        <v>2194</v>
      </c>
      <c r="E2772" s="134"/>
      <c r="F2772" s="35">
        <v>481058</v>
      </c>
    </row>
    <row r="2773" spans="1:6" s="4" customFormat="1" ht="12">
      <c r="A2773" s="106">
        <v>540806</v>
      </c>
      <c r="B2773" s="111" t="s">
        <v>213</v>
      </c>
      <c r="C2773" s="106" t="s">
        <v>2195</v>
      </c>
      <c r="D2773" s="111" t="s">
        <v>2196</v>
      </c>
      <c r="E2773" s="134"/>
      <c r="F2773" s="35">
        <v>206316</v>
      </c>
    </row>
    <row r="2774" spans="1:6" s="4" customFormat="1" ht="12">
      <c r="A2774" s="106">
        <v>540806</v>
      </c>
      <c r="B2774" s="111" t="s">
        <v>213</v>
      </c>
      <c r="C2774" s="106" t="s">
        <v>2197</v>
      </c>
      <c r="D2774" s="111" t="s">
        <v>2198</v>
      </c>
      <c r="E2774" s="134"/>
      <c r="F2774" s="35">
        <v>56344</v>
      </c>
    </row>
    <row r="2775" spans="1:6" s="4" customFormat="1" ht="12">
      <c r="A2775" s="106">
        <v>540806</v>
      </c>
      <c r="B2775" s="111" t="s">
        <v>213</v>
      </c>
      <c r="C2775" s="106" t="s">
        <v>2199</v>
      </c>
      <c r="D2775" s="111" t="s">
        <v>1920</v>
      </c>
      <c r="E2775" s="134"/>
      <c r="F2775" s="35">
        <v>1120815</v>
      </c>
    </row>
    <row r="2776" spans="1:6" s="4" customFormat="1" ht="12">
      <c r="A2776" s="106">
        <v>540806</v>
      </c>
      <c r="B2776" s="111" t="s">
        <v>213</v>
      </c>
      <c r="C2776" s="106" t="s">
        <v>2200</v>
      </c>
      <c r="D2776" s="111" t="s">
        <v>2201</v>
      </c>
      <c r="E2776" s="134"/>
      <c r="F2776" s="35">
        <v>629420</v>
      </c>
    </row>
    <row r="2777" spans="1:6" s="4" customFormat="1" ht="12">
      <c r="A2777" s="106">
        <v>540806</v>
      </c>
      <c r="B2777" s="111" t="s">
        <v>213</v>
      </c>
      <c r="C2777" s="106" t="s">
        <v>3383</v>
      </c>
      <c r="D2777" s="111" t="s">
        <v>2202</v>
      </c>
      <c r="E2777" s="134"/>
      <c r="F2777" s="35">
        <v>1384650</v>
      </c>
    </row>
    <row r="2778" spans="1:6" s="4" customFormat="1" ht="12">
      <c r="A2778" s="106">
        <v>540806</v>
      </c>
      <c r="B2778" s="111" t="s">
        <v>213</v>
      </c>
      <c r="C2778" s="106" t="s">
        <v>2203</v>
      </c>
      <c r="D2778" s="111" t="s">
        <v>2204</v>
      </c>
      <c r="E2778" s="134"/>
      <c r="F2778" s="35">
        <v>243987</v>
      </c>
    </row>
    <row r="2779" spans="1:6" s="4" customFormat="1" ht="12">
      <c r="A2779" s="106">
        <v>540806</v>
      </c>
      <c r="B2779" s="111" t="s">
        <v>213</v>
      </c>
      <c r="C2779" s="106" t="s">
        <v>2205</v>
      </c>
      <c r="D2779" s="111" t="s">
        <v>1423</v>
      </c>
      <c r="E2779" s="134"/>
      <c r="F2779" s="35">
        <v>302384</v>
      </c>
    </row>
    <row r="2780" spans="1:6" s="4" customFormat="1" ht="12">
      <c r="A2780" s="106">
        <v>540806</v>
      </c>
      <c r="B2780" s="111" t="s">
        <v>213</v>
      </c>
      <c r="C2780" s="103" t="s">
        <v>266</v>
      </c>
      <c r="D2780" s="111" t="s">
        <v>2206</v>
      </c>
      <c r="E2780" s="133"/>
      <c r="F2780" s="35">
        <v>244989</v>
      </c>
    </row>
    <row r="2781" spans="1:6" s="4" customFormat="1" ht="12">
      <c r="A2781" s="106">
        <v>540806</v>
      </c>
      <c r="B2781" s="111" t="s">
        <v>213</v>
      </c>
      <c r="C2781" s="103" t="s">
        <v>296</v>
      </c>
      <c r="D2781" s="111" t="s">
        <v>2207</v>
      </c>
      <c r="E2781" s="133"/>
      <c r="F2781" s="35">
        <v>578121</v>
      </c>
    </row>
    <row r="2782" spans="1:6" s="4" customFormat="1" ht="12">
      <c r="A2782" s="106">
        <v>540806</v>
      </c>
      <c r="B2782" s="111" t="s">
        <v>213</v>
      </c>
      <c r="C2782" s="103" t="s">
        <v>2208</v>
      </c>
      <c r="D2782" s="111" t="s">
        <v>2209</v>
      </c>
      <c r="E2782" s="133"/>
      <c r="F2782" s="35">
        <v>648492</v>
      </c>
    </row>
    <row r="2783" spans="1:6" s="4" customFormat="1" ht="12">
      <c r="A2783" s="106">
        <v>540806</v>
      </c>
      <c r="B2783" s="111" t="s">
        <v>213</v>
      </c>
      <c r="C2783" s="103" t="s">
        <v>2210</v>
      </c>
      <c r="D2783" s="111" t="s">
        <v>2211</v>
      </c>
      <c r="E2783" s="133"/>
      <c r="F2783" s="35">
        <v>208814</v>
      </c>
    </row>
    <row r="2784" spans="1:6" s="4" customFormat="1" ht="12">
      <c r="A2784" s="106">
        <v>540806</v>
      </c>
      <c r="B2784" s="111" t="s">
        <v>213</v>
      </c>
      <c r="C2784" s="103" t="s">
        <v>433</v>
      </c>
      <c r="D2784" s="111" t="s">
        <v>2212</v>
      </c>
      <c r="E2784" s="133"/>
      <c r="F2784" s="35">
        <v>336087</v>
      </c>
    </row>
    <row r="2785" spans="1:6" s="4" customFormat="1" ht="12">
      <c r="A2785" s="106">
        <v>540806</v>
      </c>
      <c r="B2785" s="111" t="s">
        <v>213</v>
      </c>
      <c r="C2785" s="103" t="s">
        <v>2213</v>
      </c>
      <c r="D2785" s="111" t="s">
        <v>1219</v>
      </c>
      <c r="E2785" s="133"/>
      <c r="F2785" s="35">
        <v>224547</v>
      </c>
    </row>
    <row r="2786" spans="1:6" s="4" customFormat="1" ht="12">
      <c r="A2786" s="106">
        <v>540806</v>
      </c>
      <c r="B2786" s="111" t="s">
        <v>213</v>
      </c>
      <c r="C2786" s="103">
        <v>214547245</v>
      </c>
      <c r="D2786" s="111" t="s">
        <v>2214</v>
      </c>
      <c r="E2786" s="133"/>
      <c r="F2786" s="35">
        <v>1316913</v>
      </c>
    </row>
    <row r="2787" spans="1:6" s="4" customFormat="1" ht="12">
      <c r="A2787" s="106">
        <v>540806</v>
      </c>
      <c r="B2787" s="111" t="s">
        <v>213</v>
      </c>
      <c r="C2787" s="103">
        <v>215847258</v>
      </c>
      <c r="D2787" s="111" t="s">
        <v>2215</v>
      </c>
      <c r="E2787" s="133"/>
      <c r="F2787" s="35">
        <v>381272</v>
      </c>
    </row>
    <row r="2788" spans="1:6" s="4" customFormat="1" ht="12">
      <c r="A2788" s="106">
        <v>540806</v>
      </c>
      <c r="B2788" s="111" t="s">
        <v>213</v>
      </c>
      <c r="C2788" s="103">
        <v>216847268</v>
      </c>
      <c r="D2788" s="111" t="s">
        <v>2216</v>
      </c>
      <c r="E2788" s="133"/>
      <c r="F2788" s="35">
        <v>396680</v>
      </c>
    </row>
    <row r="2789" spans="1:6" s="4" customFormat="1" ht="12">
      <c r="A2789" s="106">
        <v>540806</v>
      </c>
      <c r="B2789" s="111" t="s">
        <v>213</v>
      </c>
      <c r="C2789" s="103">
        <v>218847288</v>
      </c>
      <c r="D2789" s="111" t="s">
        <v>2217</v>
      </c>
      <c r="E2789" s="133"/>
      <c r="F2789" s="35">
        <v>854725</v>
      </c>
    </row>
    <row r="2790" spans="1:6" s="4" customFormat="1" ht="12">
      <c r="A2790" s="106">
        <v>540806</v>
      </c>
      <c r="B2790" s="111" t="s">
        <v>213</v>
      </c>
      <c r="C2790" s="103">
        <v>211847318</v>
      </c>
      <c r="D2790" s="111" t="s">
        <v>2218</v>
      </c>
      <c r="E2790" s="133"/>
      <c r="F2790" s="35">
        <v>669701</v>
      </c>
    </row>
    <row r="2791" spans="1:6" s="4" customFormat="1" ht="12">
      <c r="A2791" s="106">
        <v>540806</v>
      </c>
      <c r="B2791" s="111" t="s">
        <v>213</v>
      </c>
      <c r="C2791" s="103">
        <v>216047460</v>
      </c>
      <c r="D2791" s="111" t="s">
        <v>2219</v>
      </c>
      <c r="E2791" s="133"/>
      <c r="F2791" s="35">
        <v>440264</v>
      </c>
    </row>
    <row r="2792" spans="1:6" s="4" customFormat="1" ht="12">
      <c r="A2792" s="106">
        <v>540806</v>
      </c>
      <c r="B2792" s="111" t="s">
        <v>213</v>
      </c>
      <c r="C2792" s="103">
        <v>214147541</v>
      </c>
      <c r="D2792" s="111" t="s">
        <v>2220</v>
      </c>
      <c r="E2792" s="133"/>
      <c r="F2792" s="35">
        <v>221170</v>
      </c>
    </row>
    <row r="2793" spans="1:6" s="4" customFormat="1" ht="12">
      <c r="A2793" s="106">
        <v>540806</v>
      </c>
      <c r="B2793" s="111" t="s">
        <v>213</v>
      </c>
      <c r="C2793" s="103">
        <v>214547545</v>
      </c>
      <c r="D2793" s="111" t="s">
        <v>2221</v>
      </c>
      <c r="E2793" s="133"/>
      <c r="F2793" s="35">
        <v>359530</v>
      </c>
    </row>
    <row r="2794" spans="1:6" s="4" customFormat="1" ht="12">
      <c r="A2794" s="106">
        <v>540806</v>
      </c>
      <c r="B2794" s="111" t="s">
        <v>213</v>
      </c>
      <c r="C2794" s="103">
        <v>215147551</v>
      </c>
      <c r="D2794" s="111" t="s">
        <v>2222</v>
      </c>
      <c r="E2794" s="133"/>
      <c r="F2794" s="35">
        <v>753627</v>
      </c>
    </row>
    <row r="2795" spans="1:6" s="4" customFormat="1" ht="12">
      <c r="A2795" s="106">
        <v>540806</v>
      </c>
      <c r="B2795" s="111" t="s">
        <v>213</v>
      </c>
      <c r="C2795" s="103">
        <v>215547555</v>
      </c>
      <c r="D2795" s="111" t="s">
        <v>2223</v>
      </c>
      <c r="E2795" s="133"/>
      <c r="F2795" s="35">
        <v>1059223</v>
      </c>
    </row>
    <row r="2796" spans="1:6" s="4" customFormat="1" ht="12">
      <c r="A2796" s="106">
        <v>540806</v>
      </c>
      <c r="B2796" s="111" t="s">
        <v>213</v>
      </c>
      <c r="C2796" s="103">
        <v>217047570</v>
      </c>
      <c r="D2796" s="111" t="s">
        <v>2224</v>
      </c>
      <c r="E2796" s="133"/>
      <c r="F2796" s="35">
        <v>526500</v>
      </c>
    </row>
    <row r="2797" spans="1:6" s="4" customFormat="1" ht="12">
      <c r="A2797" s="106">
        <v>540806</v>
      </c>
      <c r="B2797" s="111" t="s">
        <v>213</v>
      </c>
      <c r="C2797" s="103">
        <v>210547605</v>
      </c>
      <c r="D2797" s="111" t="s">
        <v>2225</v>
      </c>
      <c r="E2797" s="133"/>
      <c r="F2797" s="35">
        <v>204673</v>
      </c>
    </row>
    <row r="2798" spans="1:6" s="4" customFormat="1" ht="12">
      <c r="A2798" s="106">
        <v>540806</v>
      </c>
      <c r="B2798" s="111" t="s">
        <v>213</v>
      </c>
      <c r="C2798" s="103">
        <v>216047660</v>
      </c>
      <c r="D2798" s="111" t="s">
        <v>2226</v>
      </c>
      <c r="E2798" s="133"/>
      <c r="F2798" s="35">
        <v>265679</v>
      </c>
    </row>
    <row r="2799" spans="1:6" s="4" customFormat="1" ht="12">
      <c r="A2799" s="106">
        <v>540806</v>
      </c>
      <c r="B2799" s="111" t="s">
        <v>213</v>
      </c>
      <c r="C2799" s="103">
        <v>217547675</v>
      </c>
      <c r="D2799" s="111" t="s">
        <v>1569</v>
      </c>
      <c r="E2799" s="133"/>
      <c r="F2799" s="35">
        <v>237599</v>
      </c>
    </row>
    <row r="2800" spans="1:6" s="4" customFormat="1" ht="12">
      <c r="A2800" s="106">
        <v>540806</v>
      </c>
      <c r="B2800" s="111" t="s">
        <v>213</v>
      </c>
      <c r="C2800" s="103">
        <v>219247692</v>
      </c>
      <c r="D2800" s="111" t="s">
        <v>1884</v>
      </c>
      <c r="E2800" s="133"/>
      <c r="F2800" s="35">
        <v>485525</v>
      </c>
    </row>
    <row r="2801" spans="1:6" s="4" customFormat="1" ht="12">
      <c r="A2801" s="106">
        <v>540806</v>
      </c>
      <c r="B2801" s="111" t="s">
        <v>213</v>
      </c>
      <c r="C2801" s="103">
        <v>210347703</v>
      </c>
      <c r="D2801" s="111" t="s">
        <v>2227</v>
      </c>
      <c r="E2801" s="133"/>
      <c r="F2801" s="35">
        <v>290608</v>
      </c>
    </row>
    <row r="2802" spans="1:6" s="4" customFormat="1" ht="12">
      <c r="A2802" s="106">
        <v>540806</v>
      </c>
      <c r="B2802" s="111" t="s">
        <v>213</v>
      </c>
      <c r="C2802" s="103">
        <v>210747707</v>
      </c>
      <c r="D2802" s="111" t="s">
        <v>2228</v>
      </c>
      <c r="E2802" s="133"/>
      <c r="F2802" s="35">
        <v>494457</v>
      </c>
    </row>
    <row r="2803" spans="1:6" s="4" customFormat="1" ht="12">
      <c r="A2803" s="106">
        <v>540806</v>
      </c>
      <c r="B2803" s="111" t="s">
        <v>213</v>
      </c>
      <c r="C2803" s="103">
        <v>212047720</v>
      </c>
      <c r="D2803" s="111" t="s">
        <v>2229</v>
      </c>
      <c r="E2803" s="133"/>
      <c r="F2803" s="35">
        <v>278336</v>
      </c>
    </row>
    <row r="2804" spans="1:6" s="4" customFormat="1" ht="12">
      <c r="A2804" s="106">
        <v>540806</v>
      </c>
      <c r="B2804" s="111" t="s">
        <v>213</v>
      </c>
      <c r="C2804" s="103">
        <v>214547745</v>
      </c>
      <c r="D2804" s="111" t="s">
        <v>2230</v>
      </c>
      <c r="E2804" s="133"/>
      <c r="F2804" s="35">
        <v>497792</v>
      </c>
    </row>
    <row r="2805" spans="1:6" s="4" customFormat="1" ht="12">
      <c r="A2805" s="106">
        <v>540806</v>
      </c>
      <c r="B2805" s="111" t="s">
        <v>213</v>
      </c>
      <c r="C2805" s="103">
        <v>219847798</v>
      </c>
      <c r="D2805" s="111" t="s">
        <v>2231</v>
      </c>
      <c r="E2805" s="133"/>
      <c r="F2805" s="35">
        <v>395956</v>
      </c>
    </row>
    <row r="2806" spans="1:6" s="4" customFormat="1" ht="12">
      <c r="A2806" s="106">
        <v>540806</v>
      </c>
      <c r="B2806" s="111" t="s">
        <v>213</v>
      </c>
      <c r="C2806" s="103">
        <v>216047960</v>
      </c>
      <c r="D2806" s="111" t="s">
        <v>2232</v>
      </c>
      <c r="E2806" s="133"/>
      <c r="F2806" s="35">
        <v>205478</v>
      </c>
    </row>
    <row r="2807" spans="1:6" s="4" customFormat="1" ht="12">
      <c r="A2807" s="106">
        <v>540806</v>
      </c>
      <c r="B2807" s="111" t="s">
        <v>213</v>
      </c>
      <c r="C2807" s="103">
        <v>218047980</v>
      </c>
      <c r="D2807" s="111" t="s">
        <v>2233</v>
      </c>
      <c r="E2807" s="133"/>
      <c r="F2807" s="35">
        <v>1120707</v>
      </c>
    </row>
    <row r="2808" spans="1:6" s="4" customFormat="1" ht="12">
      <c r="A2808" s="106">
        <v>540806</v>
      </c>
      <c r="B2808" s="111" t="s">
        <v>213</v>
      </c>
      <c r="C2808" s="103">
        <v>210650006</v>
      </c>
      <c r="D2808" s="111" t="s">
        <v>2234</v>
      </c>
      <c r="E2808" s="133"/>
      <c r="F2808" s="35">
        <v>947111</v>
      </c>
    </row>
    <row r="2809" spans="1:6" s="4" customFormat="1" ht="12">
      <c r="A2809" s="106">
        <v>540806</v>
      </c>
      <c r="B2809" s="111" t="s">
        <v>213</v>
      </c>
      <c r="C2809" s="103">
        <v>211050110</v>
      </c>
      <c r="D2809" s="111" t="s">
        <v>2235</v>
      </c>
      <c r="E2809" s="133"/>
      <c r="F2809" s="35">
        <v>124497</v>
      </c>
    </row>
    <row r="2810" spans="1:6" s="4" customFormat="1" ht="12">
      <c r="A2810" s="106">
        <v>540806</v>
      </c>
      <c r="B2810" s="111" t="s">
        <v>213</v>
      </c>
      <c r="C2810" s="103">
        <v>212450124</v>
      </c>
      <c r="D2810" s="111" t="s">
        <v>2236</v>
      </c>
      <c r="E2810" s="133"/>
      <c r="F2810" s="35">
        <v>57599</v>
      </c>
    </row>
    <row r="2811" spans="1:6" s="4" customFormat="1" ht="12">
      <c r="A2811" s="106">
        <v>540806</v>
      </c>
      <c r="B2811" s="111" t="s">
        <v>213</v>
      </c>
      <c r="C2811" s="103">
        <v>215050150</v>
      </c>
      <c r="D2811" s="111" t="s">
        <v>2237</v>
      </c>
      <c r="E2811" s="133"/>
      <c r="F2811" s="35">
        <v>111181</v>
      </c>
    </row>
    <row r="2812" spans="1:6" s="4" customFormat="1" ht="12">
      <c r="A2812" s="106">
        <v>540806</v>
      </c>
      <c r="B2812" s="111" t="s">
        <v>213</v>
      </c>
      <c r="C2812" s="103">
        <v>212350223</v>
      </c>
      <c r="D2812" s="111" t="s">
        <v>2238</v>
      </c>
      <c r="E2812" s="133"/>
      <c r="F2812" s="35">
        <v>74749</v>
      </c>
    </row>
    <row r="2813" spans="1:6" s="4" customFormat="1" ht="12">
      <c r="A2813" s="106">
        <v>540806</v>
      </c>
      <c r="B2813" s="111" t="s">
        <v>213</v>
      </c>
      <c r="C2813" s="103">
        <v>212650226</v>
      </c>
      <c r="D2813" s="111" t="s">
        <v>2239</v>
      </c>
      <c r="E2813" s="133"/>
      <c r="F2813" s="35">
        <v>251784</v>
      </c>
    </row>
    <row r="2814" spans="1:6" s="4" customFormat="1" ht="12">
      <c r="A2814" s="106">
        <v>540806</v>
      </c>
      <c r="B2814" s="111" t="s">
        <v>213</v>
      </c>
      <c r="C2814" s="103">
        <v>214550245</v>
      </c>
      <c r="D2814" s="111" t="s">
        <v>2240</v>
      </c>
      <c r="E2814" s="133"/>
      <c r="F2814" s="35">
        <v>62562</v>
      </c>
    </row>
    <row r="2815" spans="1:6" s="4" customFormat="1" ht="12">
      <c r="A2815" s="106">
        <v>540806</v>
      </c>
      <c r="B2815" s="111" t="s">
        <v>213</v>
      </c>
      <c r="C2815" s="103">
        <v>215150251</v>
      </c>
      <c r="D2815" s="111" t="s">
        <v>2241</v>
      </c>
      <c r="E2815" s="133"/>
      <c r="F2815" s="35">
        <v>87087</v>
      </c>
    </row>
    <row r="2816" spans="1:6" s="4" customFormat="1" ht="12">
      <c r="A2816" s="106">
        <v>540806</v>
      </c>
      <c r="B2816" s="111" t="s">
        <v>213</v>
      </c>
      <c r="C2816" s="103">
        <v>217050270</v>
      </c>
      <c r="D2816" s="111" t="s">
        <v>2242</v>
      </c>
      <c r="E2816" s="133"/>
      <c r="F2816" s="35">
        <v>60323</v>
      </c>
    </row>
    <row r="2817" spans="1:6" s="4" customFormat="1" ht="12">
      <c r="A2817" s="106">
        <v>540806</v>
      </c>
      <c r="B2817" s="111" t="s">
        <v>213</v>
      </c>
      <c r="C2817" s="103">
        <v>218750287</v>
      </c>
      <c r="D2817" s="111" t="s">
        <v>2243</v>
      </c>
      <c r="E2817" s="133"/>
      <c r="F2817" s="35">
        <v>169210</v>
      </c>
    </row>
    <row r="2818" spans="1:6" s="4" customFormat="1" ht="12">
      <c r="A2818" s="106">
        <v>540806</v>
      </c>
      <c r="B2818" s="111" t="s">
        <v>213</v>
      </c>
      <c r="C2818" s="103">
        <v>211350313</v>
      </c>
      <c r="D2818" s="111" t="s">
        <v>1234</v>
      </c>
      <c r="E2818" s="133"/>
      <c r="F2818" s="35">
        <v>719537</v>
      </c>
    </row>
    <row r="2819" spans="1:6" s="4" customFormat="1" ht="12">
      <c r="A2819" s="106">
        <v>540806</v>
      </c>
      <c r="B2819" s="111" t="s">
        <v>213</v>
      </c>
      <c r="C2819" s="103">
        <v>211850318</v>
      </c>
      <c r="D2819" s="111" t="s">
        <v>2218</v>
      </c>
      <c r="E2819" s="133"/>
      <c r="F2819" s="35">
        <v>202787</v>
      </c>
    </row>
    <row r="2820" spans="1:6" s="4" customFormat="1" ht="12">
      <c r="A2820" s="106">
        <v>540806</v>
      </c>
      <c r="B2820" s="111" t="s">
        <v>213</v>
      </c>
      <c r="C2820" s="103">
        <v>212550325</v>
      </c>
      <c r="D2820" s="111" t="s">
        <v>2244</v>
      </c>
      <c r="E2820" s="133"/>
      <c r="F2820" s="35">
        <v>143458</v>
      </c>
    </row>
    <row r="2821" spans="1:6" s="4" customFormat="1" ht="12">
      <c r="A2821" s="106">
        <v>540806</v>
      </c>
      <c r="B2821" s="111" t="s">
        <v>213</v>
      </c>
      <c r="C2821" s="103">
        <v>213050330</v>
      </c>
      <c r="D2821" s="111" t="s">
        <v>2245</v>
      </c>
      <c r="E2821" s="133"/>
      <c r="F2821" s="35">
        <v>172719</v>
      </c>
    </row>
    <row r="2822" spans="1:6" s="4" customFormat="1" ht="12">
      <c r="A2822" s="106">
        <v>540806</v>
      </c>
      <c r="B2822" s="111" t="s">
        <v>213</v>
      </c>
      <c r="C2822" s="103">
        <v>215050350</v>
      </c>
      <c r="D2822" s="111" t="s">
        <v>2246</v>
      </c>
      <c r="E2822" s="133"/>
      <c r="F2822" s="35">
        <v>326846</v>
      </c>
    </row>
    <row r="2823" spans="1:6" s="4" customFormat="1" ht="12">
      <c r="A2823" s="106">
        <v>540806</v>
      </c>
      <c r="B2823" s="111" t="s">
        <v>213</v>
      </c>
      <c r="C2823" s="103">
        <v>217050370</v>
      </c>
      <c r="D2823" s="111" t="s">
        <v>2247</v>
      </c>
      <c r="E2823" s="133"/>
      <c r="F2823" s="35">
        <v>172265</v>
      </c>
    </row>
    <row r="2824" spans="1:6" s="4" customFormat="1" ht="12">
      <c r="A2824" s="106">
        <v>540806</v>
      </c>
      <c r="B2824" s="111" t="s">
        <v>213</v>
      </c>
      <c r="C2824" s="103">
        <v>210050400</v>
      </c>
      <c r="D2824" s="111" t="s">
        <v>2248</v>
      </c>
      <c r="E2824" s="133"/>
      <c r="F2824" s="35">
        <v>143945</v>
      </c>
    </row>
    <row r="2825" spans="1:6" s="4" customFormat="1" ht="12">
      <c r="A2825" s="106">
        <v>540806</v>
      </c>
      <c r="B2825" s="111" t="s">
        <v>213</v>
      </c>
      <c r="C2825" s="103">
        <v>215050450</v>
      </c>
      <c r="D2825" s="111" t="s">
        <v>2249</v>
      </c>
      <c r="E2825" s="133"/>
      <c r="F2825" s="35">
        <v>182189</v>
      </c>
    </row>
    <row r="2826" spans="1:6" s="4" customFormat="1" ht="12">
      <c r="A2826" s="106">
        <v>540806</v>
      </c>
      <c r="B2826" s="111" t="s">
        <v>213</v>
      </c>
      <c r="C2826" s="103">
        <v>216850568</v>
      </c>
      <c r="D2826" s="111" t="s">
        <v>2250</v>
      </c>
      <c r="E2826" s="133"/>
      <c r="F2826" s="35">
        <v>294209</v>
      </c>
    </row>
    <row r="2827" spans="1:6" s="4" customFormat="1" ht="12">
      <c r="A2827" s="106">
        <v>540806</v>
      </c>
      <c r="B2827" s="111" t="s">
        <v>213</v>
      </c>
      <c r="C2827" s="103">
        <v>217350573</v>
      </c>
      <c r="D2827" s="111" t="s">
        <v>2251</v>
      </c>
      <c r="E2827" s="133"/>
      <c r="F2827" s="35">
        <v>407219</v>
      </c>
    </row>
    <row r="2828" spans="1:6" s="4" customFormat="1" ht="12">
      <c r="A2828" s="106">
        <v>540806</v>
      </c>
      <c r="B2828" s="111" t="s">
        <v>213</v>
      </c>
      <c r="C2828" s="103">
        <v>217750577</v>
      </c>
      <c r="D2828" s="111" t="s">
        <v>2252</v>
      </c>
      <c r="E2828" s="133"/>
      <c r="F2828" s="35">
        <v>168086</v>
      </c>
    </row>
    <row r="2829" spans="1:6" s="4" customFormat="1" ht="12">
      <c r="A2829" s="106">
        <v>540806</v>
      </c>
      <c r="B2829" s="111" t="s">
        <v>213</v>
      </c>
      <c r="C2829" s="103">
        <v>219050590</v>
      </c>
      <c r="D2829" s="111" t="s">
        <v>1851</v>
      </c>
      <c r="E2829" s="133"/>
      <c r="F2829" s="35">
        <v>246836</v>
      </c>
    </row>
    <row r="2830" spans="1:6" s="4" customFormat="1" ht="12">
      <c r="A2830" s="106">
        <v>540806</v>
      </c>
      <c r="B2830" s="111" t="s">
        <v>213</v>
      </c>
      <c r="C2830" s="103">
        <v>210650606</v>
      </c>
      <c r="D2830" s="111" t="s">
        <v>2253</v>
      </c>
      <c r="E2830" s="133"/>
      <c r="F2830" s="35">
        <v>185552</v>
      </c>
    </row>
    <row r="2831" spans="1:6" s="4" customFormat="1" ht="12">
      <c r="A2831" s="106">
        <v>540806</v>
      </c>
      <c r="B2831" s="111" t="s">
        <v>213</v>
      </c>
      <c r="C2831" s="103">
        <v>218050680</v>
      </c>
      <c r="D2831" s="111" t="s">
        <v>2254</v>
      </c>
      <c r="E2831" s="133"/>
      <c r="F2831" s="35">
        <v>139596</v>
      </c>
    </row>
    <row r="2832" spans="1:6" s="4" customFormat="1" ht="12">
      <c r="A2832" s="106">
        <v>540806</v>
      </c>
      <c r="B2832" s="111" t="s">
        <v>213</v>
      </c>
      <c r="C2832" s="103">
        <v>218350683</v>
      </c>
      <c r="D2832" s="111" t="s">
        <v>2255</v>
      </c>
      <c r="E2832" s="133"/>
      <c r="F2832" s="35">
        <v>124894</v>
      </c>
    </row>
    <row r="2833" spans="1:6" s="4" customFormat="1" ht="12">
      <c r="A2833" s="106">
        <v>540806</v>
      </c>
      <c r="B2833" s="111" t="s">
        <v>213</v>
      </c>
      <c r="C2833" s="103">
        <v>218650686</v>
      </c>
      <c r="D2833" s="111" t="s">
        <v>2256</v>
      </c>
      <c r="E2833" s="133"/>
      <c r="F2833" s="35">
        <v>31511</v>
      </c>
    </row>
    <row r="2834" spans="1:6" s="4" customFormat="1" ht="12">
      <c r="A2834" s="106">
        <v>540806</v>
      </c>
      <c r="B2834" s="111" t="s">
        <v>213</v>
      </c>
      <c r="C2834" s="103">
        <v>218950689</v>
      </c>
      <c r="D2834" s="111" t="s">
        <v>1934</v>
      </c>
      <c r="E2834" s="133"/>
      <c r="F2834" s="35">
        <v>285971</v>
      </c>
    </row>
    <row r="2835" spans="1:6" s="4" customFormat="1" ht="12">
      <c r="A2835" s="106">
        <v>540806</v>
      </c>
      <c r="B2835" s="111" t="s">
        <v>213</v>
      </c>
      <c r="C2835" s="103">
        <v>211150711</v>
      </c>
      <c r="D2835" s="111" t="s">
        <v>2257</v>
      </c>
      <c r="E2835" s="133"/>
      <c r="F2835" s="35">
        <v>405627</v>
      </c>
    </row>
    <row r="2836" spans="1:6" s="4" customFormat="1" ht="12">
      <c r="A2836" s="106">
        <v>540806</v>
      </c>
      <c r="B2836" s="111" t="s">
        <v>213</v>
      </c>
      <c r="C2836" s="103">
        <v>211952019</v>
      </c>
      <c r="D2836" s="111" t="s">
        <v>1974</v>
      </c>
      <c r="E2836" s="133"/>
      <c r="F2836" s="35">
        <v>195927</v>
      </c>
    </row>
    <row r="2837" spans="1:6" s="4" customFormat="1" ht="12">
      <c r="A2837" s="106">
        <v>540806</v>
      </c>
      <c r="B2837" s="111" t="s">
        <v>213</v>
      </c>
      <c r="C2837" s="103">
        <v>212252022</v>
      </c>
      <c r="D2837" s="111" t="s">
        <v>2258</v>
      </c>
      <c r="E2837" s="133"/>
      <c r="F2837" s="35">
        <v>105513</v>
      </c>
    </row>
    <row r="2838" spans="1:6" s="4" customFormat="1" ht="12">
      <c r="A2838" s="106">
        <v>540806</v>
      </c>
      <c r="B2838" s="111" t="s">
        <v>213</v>
      </c>
      <c r="C2838" s="103">
        <v>213652036</v>
      </c>
      <c r="D2838" s="111" t="s">
        <v>2259</v>
      </c>
      <c r="E2838" s="133"/>
      <c r="F2838" s="35">
        <v>137313</v>
      </c>
    </row>
    <row r="2839" spans="1:6" s="4" customFormat="1" ht="12">
      <c r="A2839" s="106">
        <v>540806</v>
      </c>
      <c r="B2839" s="111" t="s">
        <v>213</v>
      </c>
      <c r="C2839" s="103">
        <v>215152051</v>
      </c>
      <c r="D2839" s="111" t="s">
        <v>2260</v>
      </c>
      <c r="E2839" s="133"/>
      <c r="F2839" s="35">
        <v>133458</v>
      </c>
    </row>
    <row r="2840" spans="1:6" s="4" customFormat="1" ht="12">
      <c r="A2840" s="106">
        <v>540806</v>
      </c>
      <c r="B2840" s="111" t="s">
        <v>213</v>
      </c>
      <c r="C2840" s="103">
        <v>217952079</v>
      </c>
      <c r="D2840" s="111" t="s">
        <v>2261</v>
      </c>
      <c r="E2840" s="133"/>
      <c r="F2840" s="35">
        <v>896781</v>
      </c>
    </row>
    <row r="2841" spans="1:6" s="4" customFormat="1" ht="12">
      <c r="A2841" s="106">
        <v>540806</v>
      </c>
      <c r="B2841" s="111" t="s">
        <v>213</v>
      </c>
      <c r="C2841" s="103">
        <v>218352083</v>
      </c>
      <c r="D2841" s="111" t="s">
        <v>1429</v>
      </c>
      <c r="E2841" s="133"/>
      <c r="F2841" s="35">
        <v>185694</v>
      </c>
    </row>
    <row r="2842" spans="1:6" s="4" customFormat="1" ht="12">
      <c r="A2842" s="106">
        <v>540806</v>
      </c>
      <c r="B2842" s="111" t="s">
        <v>213</v>
      </c>
      <c r="C2842" s="103">
        <v>211052110</v>
      </c>
      <c r="D2842" s="111" t="s">
        <v>2262</v>
      </c>
      <c r="E2842" s="133"/>
      <c r="F2842" s="35">
        <v>305097</v>
      </c>
    </row>
    <row r="2843" spans="1:6" s="4" customFormat="1" ht="12">
      <c r="A2843" s="106">
        <v>540806</v>
      </c>
      <c r="B2843" s="111" t="s">
        <v>213</v>
      </c>
      <c r="C2843" s="103">
        <v>210352203</v>
      </c>
      <c r="D2843" s="111" t="s">
        <v>2263</v>
      </c>
      <c r="E2843" s="133"/>
      <c r="F2843" s="35">
        <v>166851</v>
      </c>
    </row>
    <row r="2844" spans="1:6" s="4" customFormat="1" ht="12">
      <c r="A2844" s="106">
        <v>540806</v>
      </c>
      <c r="B2844" s="111" t="s">
        <v>213</v>
      </c>
      <c r="C2844" s="103">
        <v>210752207</v>
      </c>
      <c r="D2844" s="111" t="s">
        <v>2264</v>
      </c>
      <c r="E2844" s="133"/>
      <c r="F2844" s="35">
        <v>137883</v>
      </c>
    </row>
    <row r="2845" spans="1:6" s="4" customFormat="1" ht="12">
      <c r="A2845" s="106">
        <v>540806</v>
      </c>
      <c r="B2845" s="111" t="s">
        <v>213</v>
      </c>
      <c r="C2845" s="103">
        <v>211052210</v>
      </c>
      <c r="D2845" s="111" t="s">
        <v>2265</v>
      </c>
      <c r="E2845" s="133"/>
      <c r="F2845" s="35">
        <v>94111</v>
      </c>
    </row>
    <row r="2846" spans="1:6" s="4" customFormat="1" ht="12">
      <c r="A2846" s="106">
        <v>540806</v>
      </c>
      <c r="B2846" s="111" t="s">
        <v>213</v>
      </c>
      <c r="C2846" s="103">
        <v>211552215</v>
      </c>
      <c r="D2846" s="111" t="s">
        <v>1096</v>
      </c>
      <c r="E2846" s="133"/>
      <c r="F2846" s="35">
        <v>245124</v>
      </c>
    </row>
    <row r="2847" spans="1:6" s="4" customFormat="1" ht="12">
      <c r="A2847" s="106">
        <v>540806</v>
      </c>
      <c r="B2847" s="111" t="s">
        <v>213</v>
      </c>
      <c r="C2847" s="103">
        <v>212452224</v>
      </c>
      <c r="D2847" s="111" t="s">
        <v>2266</v>
      </c>
      <c r="E2847" s="133"/>
      <c r="F2847" s="35">
        <v>125234</v>
      </c>
    </row>
    <row r="2848" spans="1:6" s="4" customFormat="1" ht="12">
      <c r="A2848" s="106">
        <v>540806</v>
      </c>
      <c r="B2848" s="111" t="s">
        <v>213</v>
      </c>
      <c r="C2848" s="103">
        <v>212752227</v>
      </c>
      <c r="D2848" s="111" t="s">
        <v>2267</v>
      </c>
      <c r="E2848" s="133"/>
      <c r="F2848" s="35">
        <v>545249</v>
      </c>
    </row>
    <row r="2849" spans="1:6" s="4" customFormat="1" ht="12">
      <c r="A2849" s="106">
        <v>540806</v>
      </c>
      <c r="B2849" s="111" t="s">
        <v>213</v>
      </c>
      <c r="C2849" s="103">
        <v>213352233</v>
      </c>
      <c r="D2849" s="111" t="s">
        <v>2268</v>
      </c>
      <c r="E2849" s="133"/>
      <c r="F2849" s="35">
        <v>175105</v>
      </c>
    </row>
    <row r="2850" spans="1:6" s="4" customFormat="1" ht="12">
      <c r="A2850" s="106">
        <v>540806</v>
      </c>
      <c r="B2850" s="111" t="s">
        <v>213</v>
      </c>
      <c r="C2850" s="103">
        <v>214052240</v>
      </c>
      <c r="D2850" s="111" t="s">
        <v>2269</v>
      </c>
      <c r="E2850" s="133"/>
      <c r="F2850" s="35">
        <v>165771</v>
      </c>
    </row>
    <row r="2851" spans="1:6" s="4" customFormat="1" ht="12">
      <c r="A2851" s="106">
        <v>540806</v>
      </c>
      <c r="B2851" s="111" t="s">
        <v>213</v>
      </c>
      <c r="C2851" s="103">
        <v>215052250</v>
      </c>
      <c r="D2851" s="111" t="s">
        <v>2270</v>
      </c>
      <c r="E2851" s="133"/>
      <c r="F2851" s="35">
        <v>653475</v>
      </c>
    </row>
    <row r="2852" spans="1:6" s="4" customFormat="1" ht="12">
      <c r="A2852" s="106">
        <v>540806</v>
      </c>
      <c r="B2852" s="111" t="s">
        <v>213</v>
      </c>
      <c r="C2852" s="103">
        <v>215452254</v>
      </c>
      <c r="D2852" s="111" t="s">
        <v>2271</v>
      </c>
      <c r="E2852" s="133"/>
      <c r="F2852" s="35">
        <v>151302</v>
      </c>
    </row>
    <row r="2853" spans="1:6" s="4" customFormat="1" ht="12">
      <c r="A2853" s="106">
        <v>540806</v>
      </c>
      <c r="B2853" s="111" t="s">
        <v>213</v>
      </c>
      <c r="C2853" s="103">
        <v>215652256</v>
      </c>
      <c r="D2853" s="111" t="s">
        <v>2272</v>
      </c>
      <c r="E2853" s="133"/>
      <c r="F2853" s="35">
        <v>192750</v>
      </c>
    </row>
    <row r="2854" spans="1:6" s="4" customFormat="1" ht="12">
      <c r="A2854" s="106">
        <v>540806</v>
      </c>
      <c r="B2854" s="111" t="s">
        <v>213</v>
      </c>
      <c r="C2854" s="103">
        <v>215852258</v>
      </c>
      <c r="D2854" s="111" t="s">
        <v>2273</v>
      </c>
      <c r="E2854" s="133"/>
      <c r="F2854" s="35">
        <v>255737</v>
      </c>
    </row>
    <row r="2855" spans="1:6" s="4" customFormat="1" ht="12">
      <c r="A2855" s="106">
        <v>540806</v>
      </c>
      <c r="B2855" s="111" t="s">
        <v>213</v>
      </c>
      <c r="C2855" s="103">
        <v>216052260</v>
      </c>
      <c r="D2855" s="111" t="s">
        <v>1868</v>
      </c>
      <c r="E2855" s="133"/>
      <c r="F2855" s="35">
        <v>242515</v>
      </c>
    </row>
    <row r="2856" spans="1:6" s="4" customFormat="1" ht="12">
      <c r="A2856" s="106">
        <v>540806</v>
      </c>
      <c r="B2856" s="111" t="s">
        <v>213</v>
      </c>
      <c r="C2856" s="103">
        <v>218752287</v>
      </c>
      <c r="D2856" s="111" t="s">
        <v>2274</v>
      </c>
      <c r="E2856" s="133"/>
      <c r="F2856" s="35">
        <v>91544</v>
      </c>
    </row>
    <row r="2857" spans="1:6" s="4" customFormat="1" ht="12">
      <c r="A2857" s="106">
        <v>540806</v>
      </c>
      <c r="B2857" s="111" t="s">
        <v>213</v>
      </c>
      <c r="C2857" s="103">
        <v>211752317</v>
      </c>
      <c r="D2857" s="111" t="s">
        <v>2275</v>
      </c>
      <c r="E2857" s="133"/>
      <c r="F2857" s="35">
        <v>284684</v>
      </c>
    </row>
    <row r="2858" spans="1:6" s="4" customFormat="1" ht="12">
      <c r="A2858" s="106">
        <v>540806</v>
      </c>
      <c r="B2858" s="111" t="s">
        <v>213</v>
      </c>
      <c r="C2858" s="103">
        <v>212052320</v>
      </c>
      <c r="D2858" s="111" t="s">
        <v>2276</v>
      </c>
      <c r="E2858" s="133"/>
      <c r="F2858" s="35">
        <v>234361</v>
      </c>
    </row>
    <row r="2859" spans="1:6" s="4" customFormat="1" ht="12">
      <c r="A2859" s="106">
        <v>540806</v>
      </c>
      <c r="B2859" s="111" t="s">
        <v>213</v>
      </c>
      <c r="C2859" s="103">
        <v>212352323</v>
      </c>
      <c r="D2859" s="111" t="s">
        <v>2277</v>
      </c>
      <c r="E2859" s="133"/>
      <c r="F2859" s="35">
        <v>104294</v>
      </c>
    </row>
    <row r="2860" spans="1:6" s="4" customFormat="1" ht="12">
      <c r="A2860" s="106">
        <v>540806</v>
      </c>
      <c r="B2860" s="111" t="s">
        <v>213</v>
      </c>
      <c r="C2860" s="103">
        <v>215252352</v>
      </c>
      <c r="D2860" s="111" t="s">
        <v>2278</v>
      </c>
      <c r="E2860" s="133"/>
      <c r="F2860" s="35">
        <v>109406</v>
      </c>
    </row>
    <row r="2861" spans="1:6" s="4" customFormat="1" ht="12">
      <c r="A2861" s="106">
        <v>540806</v>
      </c>
      <c r="B2861" s="111" t="s">
        <v>213</v>
      </c>
      <c r="C2861" s="103">
        <v>215452354</v>
      </c>
      <c r="D2861" s="111" t="s">
        <v>2279</v>
      </c>
      <c r="E2861" s="133"/>
      <c r="F2861" s="35">
        <v>129691</v>
      </c>
    </row>
    <row r="2862" spans="1:6" s="4" customFormat="1" ht="12">
      <c r="A2862" s="106">
        <v>540806</v>
      </c>
      <c r="B2862" s="111" t="s">
        <v>213</v>
      </c>
      <c r="C2862" s="103">
        <v>215652356</v>
      </c>
      <c r="D2862" s="111" t="s">
        <v>2280</v>
      </c>
      <c r="E2862" s="133"/>
      <c r="F2862" s="35">
        <v>1257490</v>
      </c>
    </row>
    <row r="2863" spans="1:6" s="4" customFormat="1" ht="12">
      <c r="A2863" s="106">
        <v>540806</v>
      </c>
      <c r="B2863" s="111" t="s">
        <v>213</v>
      </c>
      <c r="C2863" s="103">
        <v>217852378</v>
      </c>
      <c r="D2863" s="111" t="s">
        <v>2281</v>
      </c>
      <c r="E2863" s="133"/>
      <c r="F2863" s="35">
        <v>370615</v>
      </c>
    </row>
    <row r="2864" spans="1:6" s="4" customFormat="1" ht="12">
      <c r="A2864" s="106">
        <v>540806</v>
      </c>
      <c r="B2864" s="111" t="s">
        <v>213</v>
      </c>
      <c r="C2864" s="103">
        <v>218152381</v>
      </c>
      <c r="D2864" s="111" t="s">
        <v>2282</v>
      </c>
      <c r="E2864" s="133"/>
      <c r="F2864" s="35">
        <v>203799</v>
      </c>
    </row>
    <row r="2865" spans="1:6" s="4" customFormat="1" ht="12">
      <c r="A2865" s="106">
        <v>540806</v>
      </c>
      <c r="B2865" s="111" t="s">
        <v>213</v>
      </c>
      <c r="C2865" s="103">
        <v>218552385</v>
      </c>
      <c r="D2865" s="111" t="s">
        <v>2283</v>
      </c>
      <c r="E2865" s="133"/>
      <c r="F2865" s="35">
        <v>100867</v>
      </c>
    </row>
    <row r="2866" spans="1:6" s="4" customFormat="1" ht="12">
      <c r="A2866" s="106">
        <v>540806</v>
      </c>
      <c r="B2866" s="111" t="s">
        <v>213</v>
      </c>
      <c r="C2866" s="103">
        <v>219052390</v>
      </c>
      <c r="D2866" s="111" t="s">
        <v>2284</v>
      </c>
      <c r="E2866" s="133"/>
      <c r="F2866" s="35">
        <v>261696</v>
      </c>
    </row>
    <row r="2867" spans="1:6" s="4" customFormat="1" ht="12">
      <c r="A2867" s="106">
        <v>540806</v>
      </c>
      <c r="B2867" s="111" t="s">
        <v>213</v>
      </c>
      <c r="C2867" s="103">
        <v>219952399</v>
      </c>
      <c r="D2867" s="111" t="s">
        <v>1250</v>
      </c>
      <c r="E2867" s="133"/>
      <c r="F2867" s="35">
        <v>350718</v>
      </c>
    </row>
    <row r="2868" spans="1:6" s="4" customFormat="1" ht="12">
      <c r="A2868" s="106">
        <v>540806</v>
      </c>
      <c r="B2868" s="111" t="s">
        <v>213</v>
      </c>
      <c r="C2868" s="103">
        <v>210552405</v>
      </c>
      <c r="D2868" s="111" t="s">
        <v>2285</v>
      </c>
      <c r="E2868" s="133"/>
      <c r="F2868" s="35">
        <v>185242</v>
      </c>
    </row>
    <row r="2869" spans="1:6" s="4" customFormat="1" ht="12">
      <c r="A2869" s="106">
        <v>540806</v>
      </c>
      <c r="B2869" s="111" t="s">
        <v>213</v>
      </c>
      <c r="C2869" s="103">
        <v>211152411</v>
      </c>
      <c r="D2869" s="111" t="s">
        <v>2286</v>
      </c>
      <c r="E2869" s="133"/>
      <c r="F2869" s="35">
        <v>184972</v>
      </c>
    </row>
    <row r="2870" spans="1:6" s="4" customFormat="1" ht="12">
      <c r="A2870" s="106">
        <v>540806</v>
      </c>
      <c r="B2870" s="111" t="s">
        <v>213</v>
      </c>
      <c r="C2870" s="103">
        <v>211852418</v>
      </c>
      <c r="D2870" s="111" t="s">
        <v>2287</v>
      </c>
      <c r="E2870" s="133"/>
      <c r="F2870" s="35">
        <v>196138</v>
      </c>
    </row>
    <row r="2871" spans="1:6" s="4" customFormat="1" ht="12">
      <c r="A2871" s="106">
        <v>540806</v>
      </c>
      <c r="B2871" s="111" t="s">
        <v>213</v>
      </c>
      <c r="C2871" s="103">
        <v>212752427</v>
      </c>
      <c r="D2871" s="111" t="s">
        <v>2288</v>
      </c>
      <c r="E2871" s="133"/>
      <c r="F2871" s="35">
        <v>348210</v>
      </c>
    </row>
    <row r="2872" spans="1:6" s="4" customFormat="1" ht="12">
      <c r="A2872" s="106">
        <v>540806</v>
      </c>
      <c r="B2872" s="111" t="s">
        <v>213</v>
      </c>
      <c r="C2872" s="103">
        <v>213552435</v>
      </c>
      <c r="D2872" s="111" t="s">
        <v>2289</v>
      </c>
      <c r="E2872" s="133"/>
      <c r="F2872" s="35">
        <v>128531</v>
      </c>
    </row>
    <row r="2873" spans="1:6" s="4" customFormat="1" ht="12">
      <c r="A2873" s="106">
        <v>540806</v>
      </c>
      <c r="B2873" s="111" t="s">
        <v>213</v>
      </c>
      <c r="C2873" s="103">
        <v>217352473</v>
      </c>
      <c r="D2873" s="111" t="s">
        <v>2034</v>
      </c>
      <c r="E2873" s="133"/>
      <c r="F2873" s="35">
        <v>242808</v>
      </c>
    </row>
    <row r="2874" spans="1:6" s="4" customFormat="1" ht="12">
      <c r="A2874" s="106">
        <v>540806</v>
      </c>
      <c r="B2874" s="111" t="s">
        <v>213</v>
      </c>
      <c r="C2874" s="103">
        <v>218052480</v>
      </c>
      <c r="D2874" s="111" t="s">
        <v>1102</v>
      </c>
      <c r="E2874" s="133"/>
      <c r="F2874" s="35">
        <v>58392</v>
      </c>
    </row>
    <row r="2875" spans="1:6" s="4" customFormat="1" ht="12">
      <c r="A2875" s="106">
        <v>540806</v>
      </c>
      <c r="B2875" s="111" t="s">
        <v>213</v>
      </c>
      <c r="C2875" s="103">
        <v>219052490</v>
      </c>
      <c r="D2875" s="111" t="s">
        <v>2290</v>
      </c>
      <c r="E2875" s="133"/>
      <c r="F2875" s="35">
        <v>451291</v>
      </c>
    </row>
    <row r="2876" spans="1:6" s="4" customFormat="1" ht="12">
      <c r="A2876" s="106">
        <v>540806</v>
      </c>
      <c r="B2876" s="111" t="s">
        <v>213</v>
      </c>
      <c r="C2876" s="103">
        <v>210652506</v>
      </c>
      <c r="D2876" s="111" t="s">
        <v>2291</v>
      </c>
      <c r="E2876" s="133"/>
      <c r="F2876" s="35">
        <v>119368</v>
      </c>
    </row>
    <row r="2877" spans="1:6" s="4" customFormat="1" ht="12">
      <c r="A2877" s="106">
        <v>540806</v>
      </c>
      <c r="B2877" s="111" t="s">
        <v>213</v>
      </c>
      <c r="C2877" s="103">
        <v>212052520</v>
      </c>
      <c r="D2877" s="111" t="s">
        <v>2292</v>
      </c>
      <c r="E2877" s="133"/>
      <c r="F2877" s="35">
        <v>174258</v>
      </c>
    </row>
    <row r="2878" spans="1:6" s="4" customFormat="1" ht="12">
      <c r="A2878" s="106">
        <v>540806</v>
      </c>
      <c r="B2878" s="111" t="s">
        <v>213</v>
      </c>
      <c r="C2878" s="103">
        <v>214052540</v>
      </c>
      <c r="D2878" s="111" t="s">
        <v>2293</v>
      </c>
      <c r="E2878" s="133"/>
      <c r="F2878" s="35">
        <v>206084</v>
      </c>
    </row>
    <row r="2879" spans="1:6" s="4" customFormat="1" ht="12">
      <c r="A2879" s="106">
        <v>540806</v>
      </c>
      <c r="B2879" s="111" t="s">
        <v>213</v>
      </c>
      <c r="C2879" s="103">
        <v>216052560</v>
      </c>
      <c r="D2879" s="111" t="s">
        <v>2294</v>
      </c>
      <c r="E2879" s="133"/>
      <c r="F2879" s="35">
        <v>163270</v>
      </c>
    </row>
    <row r="2880" spans="1:6" s="4" customFormat="1" ht="12">
      <c r="A2880" s="106">
        <v>540806</v>
      </c>
      <c r="B2880" s="111" t="s">
        <v>213</v>
      </c>
      <c r="C2880" s="103">
        <v>216552565</v>
      </c>
      <c r="D2880" s="111" t="s">
        <v>2295</v>
      </c>
      <c r="E2880" s="133"/>
      <c r="F2880" s="35">
        <v>83506</v>
      </c>
    </row>
    <row r="2881" spans="1:6" s="4" customFormat="1" ht="12">
      <c r="A2881" s="106">
        <v>540806</v>
      </c>
      <c r="B2881" s="111" t="s">
        <v>213</v>
      </c>
      <c r="C2881" s="103">
        <v>217352573</v>
      </c>
      <c r="D2881" s="111" t="s">
        <v>2296</v>
      </c>
      <c r="E2881" s="133"/>
      <c r="F2881" s="35">
        <v>131242</v>
      </c>
    </row>
    <row r="2882" spans="1:6" s="4" customFormat="1" ht="12">
      <c r="A2882" s="106">
        <v>540806</v>
      </c>
      <c r="B2882" s="111" t="s">
        <v>213</v>
      </c>
      <c r="C2882" s="103">
        <v>218552585</v>
      </c>
      <c r="D2882" s="111" t="s">
        <v>2297</v>
      </c>
      <c r="E2882" s="133"/>
      <c r="F2882" s="35">
        <v>222069</v>
      </c>
    </row>
    <row r="2883" spans="1:6" s="4" customFormat="1" ht="12">
      <c r="A2883" s="106">
        <v>540806</v>
      </c>
      <c r="B2883" s="111" t="s">
        <v>213</v>
      </c>
      <c r="C2883" s="103">
        <v>211252612</v>
      </c>
      <c r="D2883" s="111" t="s">
        <v>2054</v>
      </c>
      <c r="E2883" s="133"/>
      <c r="F2883" s="35">
        <v>316226</v>
      </c>
    </row>
    <row r="2884" spans="1:6" s="4" customFormat="1" ht="12">
      <c r="A2884" s="106">
        <v>540806</v>
      </c>
      <c r="B2884" s="111" t="s">
        <v>213</v>
      </c>
      <c r="C2884" s="103">
        <v>212152621</v>
      </c>
      <c r="D2884" s="111" t="s">
        <v>2298</v>
      </c>
      <c r="E2884" s="133"/>
      <c r="F2884" s="35">
        <v>487909</v>
      </c>
    </row>
    <row r="2885" spans="1:6" s="4" customFormat="1" ht="12">
      <c r="A2885" s="106">
        <v>540806</v>
      </c>
      <c r="B2885" s="111" t="s">
        <v>213</v>
      </c>
      <c r="C2885" s="103">
        <v>217852678</v>
      </c>
      <c r="D2885" s="111" t="s">
        <v>2299</v>
      </c>
      <c r="E2885" s="133"/>
      <c r="F2885" s="35">
        <v>533451</v>
      </c>
    </row>
    <row r="2886" spans="1:6" s="4" customFormat="1" ht="12">
      <c r="A2886" s="106">
        <v>540806</v>
      </c>
      <c r="B2886" s="111" t="s">
        <v>213</v>
      </c>
      <c r="C2886" s="103">
        <v>218352683</v>
      </c>
      <c r="D2886" s="111" t="s">
        <v>2300</v>
      </c>
      <c r="E2886" s="133"/>
      <c r="F2886" s="35">
        <v>301523</v>
      </c>
    </row>
    <row r="2887" spans="1:6" s="4" customFormat="1" ht="12">
      <c r="A2887" s="106">
        <v>540806</v>
      </c>
      <c r="B2887" s="111" t="s">
        <v>213</v>
      </c>
      <c r="C2887" s="103">
        <v>218552685</v>
      </c>
      <c r="D2887" s="111" t="s">
        <v>2058</v>
      </c>
      <c r="E2887" s="133"/>
      <c r="F2887" s="35">
        <v>130094</v>
      </c>
    </row>
    <row r="2888" spans="1:6" s="4" customFormat="1" ht="12">
      <c r="A2888" s="106">
        <v>540806</v>
      </c>
      <c r="B2888" s="111" t="s">
        <v>213</v>
      </c>
      <c r="C2888" s="103">
        <v>218752687</v>
      </c>
      <c r="D2888" s="111" t="s">
        <v>2301</v>
      </c>
      <c r="E2888" s="133"/>
      <c r="F2888" s="35">
        <v>254253</v>
      </c>
    </row>
    <row r="2889" spans="1:6" s="4" customFormat="1" ht="12">
      <c r="A2889" s="106">
        <v>540806</v>
      </c>
      <c r="B2889" s="111" t="s">
        <v>213</v>
      </c>
      <c r="C2889" s="103">
        <v>219352693</v>
      </c>
      <c r="D2889" s="111" t="s">
        <v>1408</v>
      </c>
      <c r="E2889" s="133"/>
      <c r="F2889" s="35">
        <v>236612</v>
      </c>
    </row>
    <row r="2890" spans="1:6" s="4" customFormat="1" ht="12">
      <c r="A2890" s="106">
        <v>540806</v>
      </c>
      <c r="B2890" s="111" t="s">
        <v>213</v>
      </c>
      <c r="C2890" s="103">
        <v>219452694</v>
      </c>
      <c r="D2890" s="111" t="s">
        <v>2302</v>
      </c>
      <c r="E2890" s="133"/>
      <c r="F2890" s="35">
        <v>105974</v>
      </c>
    </row>
    <row r="2891" spans="1:6" s="4" customFormat="1" ht="12">
      <c r="A2891" s="106">
        <v>540806</v>
      </c>
      <c r="B2891" s="111" t="s">
        <v>213</v>
      </c>
      <c r="C2891" s="103">
        <v>219652696</v>
      </c>
      <c r="D2891" s="111" t="s">
        <v>1298</v>
      </c>
      <c r="E2891" s="133"/>
      <c r="F2891" s="35">
        <v>284954</v>
      </c>
    </row>
    <row r="2892" spans="1:6" s="4" customFormat="1" ht="12">
      <c r="A2892" s="106">
        <v>540806</v>
      </c>
      <c r="B2892" s="111" t="s">
        <v>213</v>
      </c>
      <c r="C2892" s="103">
        <v>219952699</v>
      </c>
      <c r="D2892" s="111" t="s">
        <v>2303</v>
      </c>
      <c r="E2892" s="133"/>
      <c r="F2892" s="35">
        <v>176490</v>
      </c>
    </row>
    <row r="2893" spans="1:6" s="4" customFormat="1" ht="12">
      <c r="A2893" s="106">
        <v>540806</v>
      </c>
      <c r="B2893" s="111" t="s">
        <v>213</v>
      </c>
      <c r="C2893" s="103">
        <v>212052720</v>
      </c>
      <c r="D2893" s="111" t="s">
        <v>2304</v>
      </c>
      <c r="E2893" s="133"/>
      <c r="F2893" s="35">
        <v>94382</v>
      </c>
    </row>
    <row r="2894" spans="1:6" s="4" customFormat="1" ht="12">
      <c r="A2894" s="106">
        <v>540806</v>
      </c>
      <c r="B2894" s="111" t="s">
        <v>213</v>
      </c>
      <c r="C2894" s="103">
        <v>218652786</v>
      </c>
      <c r="D2894" s="111" t="s">
        <v>2305</v>
      </c>
      <c r="E2894" s="133"/>
      <c r="F2894" s="35">
        <v>245081</v>
      </c>
    </row>
    <row r="2895" spans="1:6" s="4" customFormat="1" ht="12">
      <c r="A2895" s="106">
        <v>540806</v>
      </c>
      <c r="B2895" s="111" t="s">
        <v>213</v>
      </c>
      <c r="C2895" s="103">
        <v>218852788</v>
      </c>
      <c r="D2895" s="111" t="s">
        <v>2306</v>
      </c>
      <c r="E2895" s="133"/>
      <c r="F2895" s="35">
        <v>147068</v>
      </c>
    </row>
    <row r="2896" spans="1:6" s="4" customFormat="1" ht="12">
      <c r="A2896" s="106">
        <v>540806</v>
      </c>
      <c r="B2896" s="111" t="s">
        <v>213</v>
      </c>
      <c r="C2896" s="103">
        <v>213852838</v>
      </c>
      <c r="D2896" s="111" t="s">
        <v>2307</v>
      </c>
      <c r="E2896" s="133"/>
      <c r="F2896" s="35">
        <v>600713</v>
      </c>
    </row>
    <row r="2897" spans="1:6" s="4" customFormat="1" ht="12">
      <c r="A2897" s="106">
        <v>540806</v>
      </c>
      <c r="B2897" s="111" t="s">
        <v>213</v>
      </c>
      <c r="C2897" s="103">
        <v>218552885</v>
      </c>
      <c r="D2897" s="111" t="s">
        <v>2308</v>
      </c>
      <c r="E2897" s="133"/>
      <c r="F2897" s="35">
        <v>173209</v>
      </c>
    </row>
    <row r="2898" spans="1:6" s="4" customFormat="1" ht="12">
      <c r="A2898" s="106">
        <v>540806</v>
      </c>
      <c r="B2898" s="111" t="s">
        <v>213</v>
      </c>
      <c r="C2898" s="103">
        <v>210354003</v>
      </c>
      <c r="D2898" s="111" t="s">
        <v>2309</v>
      </c>
      <c r="E2898" s="133"/>
      <c r="F2898" s="35">
        <v>545291</v>
      </c>
    </row>
    <row r="2899" spans="1:6" s="4" customFormat="1" ht="12">
      <c r="A2899" s="106">
        <v>540806</v>
      </c>
      <c r="B2899" s="111" t="s">
        <v>213</v>
      </c>
      <c r="C2899" s="103">
        <v>215154051</v>
      </c>
      <c r="D2899" s="111" t="s">
        <v>2310</v>
      </c>
      <c r="E2899" s="133"/>
      <c r="F2899" s="35">
        <v>188069</v>
      </c>
    </row>
    <row r="2900" spans="1:6" s="4" customFormat="1" ht="12">
      <c r="A2900" s="106">
        <v>540806</v>
      </c>
      <c r="B2900" s="111" t="s">
        <v>213</v>
      </c>
      <c r="C2900" s="103">
        <v>219954099</v>
      </c>
      <c r="D2900" s="111" t="s">
        <v>2311</v>
      </c>
      <c r="E2900" s="133"/>
      <c r="F2900" s="35">
        <v>117680</v>
      </c>
    </row>
    <row r="2901" spans="1:6" s="4" customFormat="1" ht="12">
      <c r="A2901" s="106">
        <v>540806</v>
      </c>
      <c r="B2901" s="111" t="s">
        <v>213</v>
      </c>
      <c r="C2901" s="103">
        <v>210954109</v>
      </c>
      <c r="D2901" s="111" t="s">
        <v>2312</v>
      </c>
      <c r="E2901" s="133"/>
      <c r="F2901" s="35">
        <v>114248</v>
      </c>
    </row>
    <row r="2902" spans="1:6" s="4" customFormat="1" ht="12">
      <c r="A2902" s="106">
        <v>540806</v>
      </c>
      <c r="B2902" s="111" t="s">
        <v>213</v>
      </c>
      <c r="C2902" s="103">
        <v>212554125</v>
      </c>
      <c r="D2902" s="111" t="s">
        <v>2313</v>
      </c>
      <c r="E2902" s="133"/>
      <c r="F2902" s="35">
        <v>45105</v>
      </c>
    </row>
    <row r="2903" spans="1:6" s="4" customFormat="1" ht="12">
      <c r="A2903" s="106">
        <v>540806</v>
      </c>
      <c r="B2903" s="111" t="s">
        <v>213</v>
      </c>
      <c r="C2903" s="103">
        <v>212854128</v>
      </c>
      <c r="D2903" s="111" t="s">
        <v>2314</v>
      </c>
      <c r="E2903" s="133"/>
      <c r="F2903" s="35">
        <v>168983</v>
      </c>
    </row>
    <row r="2904" spans="1:6" s="4" customFormat="1" ht="12">
      <c r="A2904" s="106">
        <v>540806</v>
      </c>
      <c r="B2904" s="111" t="s">
        <v>213</v>
      </c>
      <c r="C2904" s="103">
        <v>217254172</v>
      </c>
      <c r="D2904" s="111" t="s">
        <v>2315</v>
      </c>
      <c r="E2904" s="133"/>
      <c r="F2904" s="35">
        <v>196747</v>
      </c>
    </row>
    <row r="2905" spans="1:6" s="4" customFormat="1" ht="12">
      <c r="A2905" s="106">
        <v>540806</v>
      </c>
      <c r="B2905" s="111" t="s">
        <v>213</v>
      </c>
      <c r="C2905" s="103">
        <v>217454174</v>
      </c>
      <c r="D2905" s="111" t="s">
        <v>2316</v>
      </c>
      <c r="E2905" s="133"/>
      <c r="F2905" s="35">
        <v>148629</v>
      </c>
    </row>
    <row r="2906" spans="1:6" s="4" customFormat="1" ht="12">
      <c r="A2906" s="106">
        <v>540806</v>
      </c>
      <c r="B2906" s="111" t="s">
        <v>213</v>
      </c>
      <c r="C2906" s="103">
        <v>210654206</v>
      </c>
      <c r="D2906" s="111" t="s">
        <v>2317</v>
      </c>
      <c r="E2906" s="133"/>
      <c r="F2906" s="35">
        <v>285816</v>
      </c>
    </row>
    <row r="2907" spans="1:6" s="4" customFormat="1" ht="12">
      <c r="A2907" s="106">
        <v>540806</v>
      </c>
      <c r="B2907" s="111" t="s">
        <v>213</v>
      </c>
      <c r="C2907" s="103">
        <v>212354223</v>
      </c>
      <c r="D2907" s="111" t="s">
        <v>2318</v>
      </c>
      <c r="E2907" s="133"/>
      <c r="F2907" s="35">
        <v>157709</v>
      </c>
    </row>
    <row r="2908" spans="1:6" s="4" customFormat="1" ht="12">
      <c r="A2908" s="106">
        <v>540806</v>
      </c>
      <c r="B2908" s="111" t="s">
        <v>213</v>
      </c>
      <c r="C2908" s="103">
        <v>213954239</v>
      </c>
      <c r="D2908" s="111" t="s">
        <v>2319</v>
      </c>
      <c r="E2908" s="133"/>
      <c r="F2908" s="35">
        <v>70306</v>
      </c>
    </row>
    <row r="2909" spans="1:6" s="4" customFormat="1" ht="12">
      <c r="A2909" s="106">
        <v>540806</v>
      </c>
      <c r="B2909" s="111" t="s">
        <v>213</v>
      </c>
      <c r="C2909" s="103">
        <v>214554245</v>
      </c>
      <c r="D2909" s="111" t="s">
        <v>2121</v>
      </c>
      <c r="E2909" s="133"/>
      <c r="F2909" s="35">
        <v>232239</v>
      </c>
    </row>
    <row r="2910" spans="1:6" s="4" customFormat="1" ht="12">
      <c r="A2910" s="106">
        <v>540806</v>
      </c>
      <c r="B2910" s="111" t="s">
        <v>213</v>
      </c>
      <c r="C2910" s="103">
        <v>215054250</v>
      </c>
      <c r="D2910" s="111" t="s">
        <v>2320</v>
      </c>
      <c r="E2910" s="133"/>
      <c r="F2910" s="35">
        <v>220220</v>
      </c>
    </row>
    <row r="2911" spans="1:6" s="4" customFormat="1" ht="12">
      <c r="A2911" s="106">
        <v>540806</v>
      </c>
      <c r="B2911" s="111" t="s">
        <v>213</v>
      </c>
      <c r="C2911" s="103">
        <v>216154261</v>
      </c>
      <c r="D2911" s="111" t="s">
        <v>2321</v>
      </c>
      <c r="E2911" s="133"/>
      <c r="F2911" s="35">
        <v>308291</v>
      </c>
    </row>
    <row r="2912" spans="1:6" s="4" customFormat="1" ht="12">
      <c r="A2912" s="106">
        <v>540806</v>
      </c>
      <c r="B2912" s="111" t="s">
        <v>213</v>
      </c>
      <c r="C2912" s="103">
        <v>211354313</v>
      </c>
      <c r="D2912" s="111" t="s">
        <v>2322</v>
      </c>
      <c r="E2912" s="133"/>
      <c r="F2912" s="35">
        <v>124963</v>
      </c>
    </row>
    <row r="2913" spans="1:6" s="4" customFormat="1" ht="12">
      <c r="A2913" s="106">
        <v>540806</v>
      </c>
      <c r="B2913" s="111" t="s">
        <v>213</v>
      </c>
      <c r="C2913" s="103">
        <v>214454344</v>
      </c>
      <c r="D2913" s="111" t="s">
        <v>2323</v>
      </c>
      <c r="E2913" s="133"/>
      <c r="F2913" s="35">
        <v>219539</v>
      </c>
    </row>
    <row r="2914" spans="1:6" s="4" customFormat="1" ht="12">
      <c r="A2914" s="106">
        <v>540806</v>
      </c>
      <c r="B2914" s="111" t="s">
        <v>213</v>
      </c>
      <c r="C2914" s="103">
        <v>214754347</v>
      </c>
      <c r="D2914" s="111" t="s">
        <v>2324</v>
      </c>
      <c r="E2914" s="133"/>
      <c r="F2914" s="35">
        <v>51174</v>
      </c>
    </row>
    <row r="2915" spans="1:6" s="4" customFormat="1" ht="12">
      <c r="A2915" s="106">
        <v>540806</v>
      </c>
      <c r="B2915" s="111" t="s">
        <v>213</v>
      </c>
      <c r="C2915" s="103">
        <v>217754377</v>
      </c>
      <c r="D2915" s="111" t="s">
        <v>2325</v>
      </c>
      <c r="E2915" s="133"/>
      <c r="F2915" s="35">
        <v>83273</v>
      </c>
    </row>
    <row r="2916" spans="1:6" s="4" customFormat="1" ht="12">
      <c r="A2916" s="106">
        <v>540806</v>
      </c>
      <c r="B2916" s="111" t="s">
        <v>213</v>
      </c>
      <c r="C2916" s="103">
        <v>218554385</v>
      </c>
      <c r="D2916" s="111" t="s">
        <v>2326</v>
      </c>
      <c r="E2916" s="133"/>
      <c r="F2916" s="35">
        <v>191978</v>
      </c>
    </row>
    <row r="2917" spans="1:6" s="4" customFormat="1" ht="12">
      <c r="A2917" s="106">
        <v>540806</v>
      </c>
      <c r="B2917" s="111" t="s">
        <v>213</v>
      </c>
      <c r="C2917" s="103">
        <v>219854398</v>
      </c>
      <c r="D2917" s="111" t="s">
        <v>2327</v>
      </c>
      <c r="E2917" s="133"/>
      <c r="F2917" s="35">
        <v>143536</v>
      </c>
    </row>
    <row r="2918" spans="1:6" s="4" customFormat="1" ht="12">
      <c r="A2918" s="106">
        <v>540806</v>
      </c>
      <c r="B2918" s="111" t="s">
        <v>213</v>
      </c>
      <c r="C2918" s="103">
        <v>210554405</v>
      </c>
      <c r="D2918" s="111" t="s">
        <v>2328</v>
      </c>
      <c r="E2918" s="133"/>
      <c r="F2918" s="35">
        <v>640155</v>
      </c>
    </row>
    <row r="2919" spans="1:6" s="4" customFormat="1" ht="12">
      <c r="A2919" s="106">
        <v>540806</v>
      </c>
      <c r="B2919" s="111" t="s">
        <v>213</v>
      </c>
      <c r="C2919" s="103">
        <v>211854418</v>
      </c>
      <c r="D2919" s="111" t="s">
        <v>2329</v>
      </c>
      <c r="E2919" s="133"/>
      <c r="F2919" s="35">
        <v>103378</v>
      </c>
    </row>
    <row r="2920" spans="1:6" s="4" customFormat="1" ht="12">
      <c r="A2920" s="106">
        <v>540806</v>
      </c>
      <c r="B2920" s="111" t="s">
        <v>213</v>
      </c>
      <c r="C2920" s="103">
        <v>218054480</v>
      </c>
      <c r="D2920" s="111" t="s">
        <v>2330</v>
      </c>
      <c r="E2920" s="133"/>
      <c r="F2920" s="35">
        <v>55157</v>
      </c>
    </row>
    <row r="2921" spans="1:6" s="4" customFormat="1" ht="12">
      <c r="A2921" s="106">
        <v>540806</v>
      </c>
      <c r="B2921" s="111" t="s">
        <v>213</v>
      </c>
      <c r="C2921" s="103">
        <v>219854498</v>
      </c>
      <c r="D2921" s="111" t="s">
        <v>2331</v>
      </c>
      <c r="E2921" s="133"/>
      <c r="F2921" s="35">
        <v>1224379</v>
      </c>
    </row>
    <row r="2922" spans="1:6" s="4" customFormat="1" ht="12">
      <c r="A2922" s="106">
        <v>540806</v>
      </c>
      <c r="B2922" s="111" t="s">
        <v>213</v>
      </c>
      <c r="C2922" s="103">
        <v>211854518</v>
      </c>
      <c r="D2922" s="111" t="s">
        <v>2332</v>
      </c>
      <c r="E2922" s="133"/>
      <c r="F2922" s="35">
        <v>706395</v>
      </c>
    </row>
    <row r="2923" spans="1:6" s="4" customFormat="1" ht="12">
      <c r="A2923" s="106">
        <v>540806</v>
      </c>
      <c r="B2923" s="111" t="s">
        <v>213</v>
      </c>
      <c r="C2923" s="103">
        <v>212054520</v>
      </c>
      <c r="D2923" s="111" t="s">
        <v>2333</v>
      </c>
      <c r="E2923" s="133"/>
      <c r="F2923" s="35">
        <v>113150</v>
      </c>
    </row>
    <row r="2924" spans="1:6" s="4" customFormat="1" ht="12">
      <c r="A2924" s="106">
        <v>540806</v>
      </c>
      <c r="B2924" s="111" t="s">
        <v>213</v>
      </c>
      <c r="C2924" s="103">
        <v>215354553</v>
      </c>
      <c r="D2924" s="111" t="s">
        <v>2334</v>
      </c>
      <c r="E2924" s="133"/>
      <c r="F2924" s="35">
        <v>84402</v>
      </c>
    </row>
    <row r="2925" spans="1:6" s="4" customFormat="1" ht="12">
      <c r="A2925" s="106">
        <v>540806</v>
      </c>
      <c r="B2925" s="111" t="s">
        <v>213</v>
      </c>
      <c r="C2925" s="103">
        <v>219954599</v>
      </c>
      <c r="D2925" s="111" t="s">
        <v>2335</v>
      </c>
      <c r="E2925" s="133"/>
      <c r="F2925" s="35">
        <v>66324</v>
      </c>
    </row>
    <row r="2926" spans="1:6" s="4" customFormat="1" ht="12">
      <c r="A2926" s="106">
        <v>540806</v>
      </c>
      <c r="B2926" s="111" t="s">
        <v>213</v>
      </c>
      <c r="C2926" s="103">
        <v>216054660</v>
      </c>
      <c r="D2926" s="111" t="s">
        <v>2336</v>
      </c>
      <c r="E2926" s="133"/>
      <c r="F2926" s="35">
        <v>148685</v>
      </c>
    </row>
    <row r="2927" spans="1:6" s="4" customFormat="1" ht="12">
      <c r="A2927" s="106">
        <v>540806</v>
      </c>
      <c r="B2927" s="111" t="s">
        <v>213</v>
      </c>
      <c r="C2927" s="103">
        <v>217054670</v>
      </c>
      <c r="D2927" s="111" t="s">
        <v>2337</v>
      </c>
      <c r="E2927" s="133"/>
      <c r="F2927" s="35">
        <v>249671</v>
      </c>
    </row>
    <row r="2928" spans="1:6" s="4" customFormat="1" ht="12">
      <c r="A2928" s="106">
        <v>540806</v>
      </c>
      <c r="B2928" s="111" t="s">
        <v>213</v>
      </c>
      <c r="C2928" s="103">
        <v>217354673</v>
      </c>
      <c r="D2928" s="111" t="s">
        <v>2060</v>
      </c>
      <c r="E2928" s="133"/>
      <c r="F2928" s="35">
        <v>78296</v>
      </c>
    </row>
    <row r="2929" spans="1:6" s="4" customFormat="1" ht="12">
      <c r="A2929" s="106">
        <v>540806</v>
      </c>
      <c r="B2929" s="111" t="s">
        <v>213</v>
      </c>
      <c r="C2929" s="106">
        <v>218054680</v>
      </c>
      <c r="D2929" s="111" t="s">
        <v>2338</v>
      </c>
      <c r="E2929" s="134"/>
      <c r="F2929" s="35">
        <v>52154</v>
      </c>
    </row>
    <row r="2930" spans="1:6" s="4" customFormat="1" ht="12">
      <c r="A2930" s="106">
        <v>540806</v>
      </c>
      <c r="B2930" s="111" t="s">
        <v>213</v>
      </c>
      <c r="C2930" s="106">
        <v>212054720</v>
      </c>
      <c r="D2930" s="111" t="s">
        <v>2339</v>
      </c>
      <c r="E2930" s="134"/>
      <c r="F2930" s="35">
        <v>402175</v>
      </c>
    </row>
    <row r="2931" spans="1:6" s="4" customFormat="1" ht="12">
      <c r="A2931" s="106">
        <v>540806</v>
      </c>
      <c r="B2931" s="111" t="s">
        <v>213</v>
      </c>
      <c r="C2931" s="106">
        <v>214354743</v>
      </c>
      <c r="D2931" s="111" t="s">
        <v>2340</v>
      </c>
      <c r="E2931" s="134"/>
      <c r="F2931" s="35">
        <v>113897</v>
      </c>
    </row>
    <row r="2932" spans="1:6" s="4" customFormat="1" ht="12">
      <c r="A2932" s="106">
        <v>540806</v>
      </c>
      <c r="B2932" s="111" t="s">
        <v>213</v>
      </c>
      <c r="C2932" s="106">
        <v>210054800</v>
      </c>
      <c r="D2932" s="111" t="s">
        <v>2341</v>
      </c>
      <c r="E2932" s="134"/>
      <c r="F2932" s="35">
        <v>279488</v>
      </c>
    </row>
    <row r="2933" spans="1:6" s="4" customFormat="1" ht="12">
      <c r="A2933" s="106">
        <v>540806</v>
      </c>
      <c r="B2933" s="111" t="s">
        <v>213</v>
      </c>
      <c r="C2933" s="106">
        <v>211054810</v>
      </c>
      <c r="D2933" s="111" t="s">
        <v>2342</v>
      </c>
      <c r="E2933" s="134"/>
      <c r="F2933" s="35">
        <v>615131</v>
      </c>
    </row>
    <row r="2934" spans="1:6" s="4" customFormat="1" ht="12">
      <c r="A2934" s="106">
        <v>540806</v>
      </c>
      <c r="B2934" s="111" t="s">
        <v>213</v>
      </c>
      <c r="C2934" s="106">
        <v>212054820</v>
      </c>
      <c r="D2934" s="111" t="s">
        <v>1312</v>
      </c>
      <c r="E2934" s="134"/>
      <c r="F2934" s="35">
        <v>284384</v>
      </c>
    </row>
    <row r="2935" spans="1:6" s="4" customFormat="1" ht="12">
      <c r="A2935" s="106">
        <v>540806</v>
      </c>
      <c r="B2935" s="111" t="s">
        <v>213</v>
      </c>
      <c r="C2935" s="103">
        <v>217154871</v>
      </c>
      <c r="D2935" s="111" t="s">
        <v>2343</v>
      </c>
      <c r="E2935" s="133"/>
      <c r="F2935" s="35">
        <v>97427</v>
      </c>
    </row>
    <row r="2936" spans="1:6" s="4" customFormat="1" ht="12">
      <c r="A2936" s="106">
        <v>540806</v>
      </c>
      <c r="B2936" s="111" t="s">
        <v>213</v>
      </c>
      <c r="C2936" s="106">
        <v>217454874</v>
      </c>
      <c r="D2936" s="111" t="s">
        <v>2344</v>
      </c>
      <c r="E2936" s="134"/>
      <c r="F2936" s="35">
        <v>796674</v>
      </c>
    </row>
    <row r="2937" spans="1:6" s="4" customFormat="1" ht="12">
      <c r="A2937" s="106">
        <v>540806</v>
      </c>
      <c r="B2937" s="111" t="s">
        <v>213</v>
      </c>
      <c r="C2937" s="106">
        <v>211163111</v>
      </c>
      <c r="D2937" s="111" t="s">
        <v>1436</v>
      </c>
      <c r="E2937" s="134"/>
      <c r="F2937" s="35">
        <v>119134</v>
      </c>
    </row>
    <row r="2938" spans="1:6" s="4" customFormat="1" ht="12">
      <c r="A2938" s="106">
        <v>540806</v>
      </c>
      <c r="B2938" s="111" t="s">
        <v>213</v>
      </c>
      <c r="C2938" s="103">
        <v>213063130</v>
      </c>
      <c r="D2938" s="111" t="s">
        <v>2345</v>
      </c>
      <c r="E2938" s="133"/>
      <c r="F2938" s="35">
        <v>966585</v>
      </c>
    </row>
    <row r="2939" spans="1:6" s="4" customFormat="1" ht="12">
      <c r="A2939" s="106">
        <v>540806</v>
      </c>
      <c r="B2939" s="111" t="s">
        <v>213</v>
      </c>
      <c r="C2939" s="106">
        <v>219063190</v>
      </c>
      <c r="D2939" s="111" t="s">
        <v>2346</v>
      </c>
      <c r="E2939" s="134"/>
      <c r="F2939" s="35">
        <v>433307</v>
      </c>
    </row>
    <row r="2940" spans="1:6" s="4" customFormat="1" ht="12">
      <c r="A2940" s="106">
        <v>540806</v>
      </c>
      <c r="B2940" s="111" t="s">
        <v>213</v>
      </c>
      <c r="C2940" s="106">
        <v>211263212</v>
      </c>
      <c r="D2940" s="111" t="s">
        <v>1096</v>
      </c>
      <c r="E2940" s="134"/>
      <c r="F2940" s="35">
        <v>110449</v>
      </c>
    </row>
    <row r="2941" spans="1:6" s="4" customFormat="1" ht="12">
      <c r="A2941" s="106">
        <v>540806</v>
      </c>
      <c r="B2941" s="111" t="s">
        <v>213</v>
      </c>
      <c r="C2941" s="106">
        <v>217263272</v>
      </c>
      <c r="D2941" s="111" t="s">
        <v>2347</v>
      </c>
      <c r="E2941" s="134"/>
      <c r="F2941" s="35">
        <v>184114</v>
      </c>
    </row>
    <row r="2942" spans="1:6" s="4" customFormat="1" ht="12">
      <c r="A2942" s="106">
        <v>540806</v>
      </c>
      <c r="B2942" s="111" t="s">
        <v>213</v>
      </c>
      <c r="C2942" s="106">
        <v>210263302</v>
      </c>
      <c r="D2942" s="111" t="s">
        <v>2348</v>
      </c>
      <c r="E2942" s="134"/>
      <c r="F2942" s="35">
        <v>132977</v>
      </c>
    </row>
    <row r="2943" spans="1:6" s="4" customFormat="1" ht="12">
      <c r="A2943" s="106">
        <v>540806</v>
      </c>
      <c r="B2943" s="111" t="s">
        <v>213</v>
      </c>
      <c r="C2943" s="106">
        <v>210163401</v>
      </c>
      <c r="D2943" s="111" t="s">
        <v>2349</v>
      </c>
      <c r="E2943" s="134"/>
      <c r="F2943" s="35">
        <v>489673</v>
      </c>
    </row>
    <row r="2944" spans="1:6" s="4" customFormat="1" ht="12">
      <c r="A2944" s="106">
        <v>540806</v>
      </c>
      <c r="B2944" s="111" t="s">
        <v>213</v>
      </c>
      <c r="C2944" s="106">
        <v>217063470</v>
      </c>
      <c r="D2944" s="111" t="s">
        <v>2350</v>
      </c>
      <c r="E2944" s="134"/>
      <c r="F2944" s="35">
        <v>595994</v>
      </c>
    </row>
    <row r="2945" spans="1:6" s="4" customFormat="1" ht="12">
      <c r="A2945" s="106">
        <v>540806</v>
      </c>
      <c r="B2945" s="111" t="s">
        <v>213</v>
      </c>
      <c r="C2945" s="106">
        <v>214863548</v>
      </c>
      <c r="D2945" s="111" t="s">
        <v>2351</v>
      </c>
      <c r="E2945" s="134"/>
      <c r="F2945" s="35">
        <v>205735</v>
      </c>
    </row>
    <row r="2946" spans="1:6" s="4" customFormat="1" ht="12">
      <c r="A2946" s="106">
        <v>540806</v>
      </c>
      <c r="B2946" s="111" t="s">
        <v>213</v>
      </c>
      <c r="C2946" s="106">
        <v>219463594</v>
      </c>
      <c r="D2946" s="111" t="s">
        <v>2352</v>
      </c>
      <c r="E2946" s="134"/>
      <c r="F2946" s="35">
        <v>474249</v>
      </c>
    </row>
    <row r="2947" spans="1:6" s="4" customFormat="1" ht="12">
      <c r="A2947" s="106">
        <v>540806</v>
      </c>
      <c r="B2947" s="111" t="s">
        <v>213</v>
      </c>
      <c r="C2947" s="106">
        <v>219063690</v>
      </c>
      <c r="D2947" s="111" t="s">
        <v>2353</v>
      </c>
      <c r="E2947" s="134"/>
      <c r="F2947" s="35">
        <v>144075</v>
      </c>
    </row>
    <row r="2948" spans="1:6" s="4" customFormat="1" ht="12">
      <c r="A2948" s="106">
        <v>540806</v>
      </c>
      <c r="B2948" s="111" t="s">
        <v>213</v>
      </c>
      <c r="C2948" s="106">
        <v>214566045</v>
      </c>
      <c r="D2948" s="111" t="s">
        <v>2354</v>
      </c>
      <c r="E2948" s="134"/>
      <c r="F2948" s="35">
        <v>165299</v>
      </c>
    </row>
    <row r="2949" spans="1:6" s="4" customFormat="1" ht="12">
      <c r="A2949" s="106">
        <v>540806</v>
      </c>
      <c r="B2949" s="111" t="s">
        <v>213</v>
      </c>
      <c r="C2949" s="106">
        <v>217566075</v>
      </c>
      <c r="D2949" s="111" t="s">
        <v>1859</v>
      </c>
      <c r="E2949" s="134"/>
      <c r="F2949" s="35">
        <v>103165</v>
      </c>
    </row>
    <row r="2950" spans="1:6" s="4" customFormat="1" ht="12">
      <c r="A2950" s="106">
        <v>540806</v>
      </c>
      <c r="B2950" s="111" t="s">
        <v>213</v>
      </c>
      <c r="C2950" s="103">
        <v>218866088</v>
      </c>
      <c r="D2950" s="111" t="s">
        <v>2355</v>
      </c>
      <c r="E2950" s="133"/>
      <c r="F2950" s="35">
        <v>368465</v>
      </c>
    </row>
    <row r="2951" spans="1:6" s="4" customFormat="1" ht="12">
      <c r="A2951" s="106">
        <v>540806</v>
      </c>
      <c r="B2951" s="111" t="s">
        <v>213</v>
      </c>
      <c r="C2951" s="106">
        <v>211866318</v>
      </c>
      <c r="D2951" s="111" t="s">
        <v>2356</v>
      </c>
      <c r="E2951" s="134"/>
      <c r="F2951" s="35">
        <v>208642</v>
      </c>
    </row>
    <row r="2952" spans="1:6" s="4" customFormat="1" ht="12">
      <c r="A2952" s="106">
        <v>540806</v>
      </c>
      <c r="B2952" s="111" t="s">
        <v>213</v>
      </c>
      <c r="C2952" s="103">
        <v>218366383</v>
      </c>
      <c r="D2952" s="111" t="s">
        <v>2357</v>
      </c>
      <c r="E2952" s="133"/>
      <c r="F2952" s="35">
        <v>126234</v>
      </c>
    </row>
    <row r="2953" spans="1:6" s="4" customFormat="1" ht="12">
      <c r="A2953" s="106">
        <v>540806</v>
      </c>
      <c r="B2953" s="111" t="s">
        <v>213</v>
      </c>
      <c r="C2953" s="106">
        <v>210066400</v>
      </c>
      <c r="D2953" s="111" t="s">
        <v>2358</v>
      </c>
      <c r="E2953" s="134"/>
      <c r="F2953" s="35">
        <v>441209</v>
      </c>
    </row>
    <row r="2954" spans="1:6" s="4" customFormat="1" ht="12">
      <c r="A2954" s="106">
        <v>540806</v>
      </c>
      <c r="B2954" s="111" t="s">
        <v>213</v>
      </c>
      <c r="C2954" s="106">
        <v>214066440</v>
      </c>
      <c r="D2954" s="111" t="s">
        <v>2359</v>
      </c>
      <c r="E2954" s="134"/>
      <c r="F2954" s="35">
        <v>303095</v>
      </c>
    </row>
    <row r="2955" spans="1:6" s="4" customFormat="1" ht="12">
      <c r="A2955" s="106">
        <v>540806</v>
      </c>
      <c r="B2955" s="111" t="s">
        <v>213</v>
      </c>
      <c r="C2955" s="106">
        <v>215666456</v>
      </c>
      <c r="D2955" s="111" t="s">
        <v>2360</v>
      </c>
      <c r="E2955" s="134"/>
      <c r="F2955" s="35">
        <v>261690</v>
      </c>
    </row>
    <row r="2956" spans="1:6" s="4" customFormat="1" ht="12">
      <c r="A2956" s="106">
        <v>540806</v>
      </c>
      <c r="B2956" s="111" t="s">
        <v>213</v>
      </c>
      <c r="C2956" s="106">
        <v>217266572</v>
      </c>
      <c r="D2956" s="111" t="s">
        <v>2361</v>
      </c>
      <c r="E2956" s="134"/>
      <c r="F2956" s="35">
        <v>253642</v>
      </c>
    </row>
    <row r="2957" spans="1:6" s="4" customFormat="1" ht="12">
      <c r="A2957" s="106">
        <v>540806</v>
      </c>
      <c r="B2957" s="111" t="s">
        <v>213</v>
      </c>
      <c r="C2957" s="103">
        <v>219466594</v>
      </c>
      <c r="D2957" s="111" t="s">
        <v>2362</v>
      </c>
      <c r="E2957" s="133"/>
      <c r="F2957" s="35">
        <v>427653</v>
      </c>
    </row>
    <row r="2958" spans="1:6" s="4" customFormat="1" ht="12">
      <c r="A2958" s="106">
        <v>540806</v>
      </c>
      <c r="B2958" s="111" t="s">
        <v>213</v>
      </c>
      <c r="C2958" s="103">
        <v>218266682</v>
      </c>
      <c r="D2958" s="111" t="s">
        <v>2363</v>
      </c>
      <c r="E2958" s="133"/>
      <c r="F2958" s="35">
        <v>903261</v>
      </c>
    </row>
    <row r="2959" spans="1:6" s="4" customFormat="1" ht="12">
      <c r="A2959" s="106">
        <v>540806</v>
      </c>
      <c r="B2959" s="111" t="s">
        <v>213</v>
      </c>
      <c r="C2959" s="106">
        <v>218766687</v>
      </c>
      <c r="D2959" s="111" t="s">
        <v>2364</v>
      </c>
      <c r="E2959" s="134"/>
      <c r="F2959" s="35">
        <v>269610</v>
      </c>
    </row>
    <row r="2960" spans="1:6" s="4" customFormat="1" ht="12">
      <c r="A2960" s="106">
        <v>540806</v>
      </c>
      <c r="B2960" s="111" t="s">
        <v>213</v>
      </c>
      <c r="C2960" s="106" t="s">
        <v>2365</v>
      </c>
      <c r="D2960" s="111" t="s">
        <v>2366</v>
      </c>
      <c r="E2960" s="134"/>
      <c r="F2960" s="35">
        <v>43536</v>
      </c>
    </row>
    <row r="2961" spans="1:6" s="4" customFormat="1" ht="12">
      <c r="A2961" s="106">
        <v>540806</v>
      </c>
      <c r="B2961" s="111" t="s">
        <v>213</v>
      </c>
      <c r="C2961" s="106" t="s">
        <v>2367</v>
      </c>
      <c r="D2961" s="111" t="s">
        <v>1576</v>
      </c>
      <c r="E2961" s="134"/>
      <c r="F2961" s="35">
        <v>64483</v>
      </c>
    </row>
    <row r="2962" spans="1:6" s="4" customFormat="1" ht="12">
      <c r="A2962" s="106">
        <v>540806</v>
      </c>
      <c r="B2962" s="111" t="s">
        <v>213</v>
      </c>
      <c r="C2962" s="106" t="s">
        <v>299</v>
      </c>
      <c r="D2962" s="111" t="s">
        <v>2368</v>
      </c>
      <c r="E2962" s="134"/>
      <c r="F2962" s="35">
        <v>115404</v>
      </c>
    </row>
    <row r="2963" spans="1:6" s="4" customFormat="1" ht="12">
      <c r="A2963" s="106">
        <v>540806</v>
      </c>
      <c r="B2963" s="111" t="s">
        <v>213</v>
      </c>
      <c r="C2963" s="106" t="s">
        <v>323</v>
      </c>
      <c r="D2963" s="111" t="s">
        <v>1189</v>
      </c>
      <c r="E2963" s="134"/>
      <c r="F2963" s="35">
        <v>287493</v>
      </c>
    </row>
    <row r="2964" spans="1:6" s="4" customFormat="1" ht="12">
      <c r="A2964" s="106">
        <v>540806</v>
      </c>
      <c r="B2964" s="111" t="s">
        <v>213</v>
      </c>
      <c r="C2964" s="106" t="s">
        <v>325</v>
      </c>
      <c r="D2964" s="111" t="s">
        <v>2369</v>
      </c>
      <c r="E2964" s="134"/>
      <c r="F2964" s="35">
        <v>108219</v>
      </c>
    </row>
    <row r="2965" spans="1:6" s="4" customFormat="1" ht="12">
      <c r="A2965" s="106">
        <v>540806</v>
      </c>
      <c r="B2965" s="111" t="s">
        <v>213</v>
      </c>
      <c r="C2965" s="106" t="s">
        <v>346</v>
      </c>
      <c r="D2965" s="111" t="s">
        <v>1194</v>
      </c>
      <c r="E2965" s="134"/>
      <c r="F2965" s="35">
        <v>78364</v>
      </c>
    </row>
    <row r="2966" spans="1:6" s="4" customFormat="1" ht="12">
      <c r="A2966" s="106">
        <v>540806</v>
      </c>
      <c r="B2966" s="111" t="s">
        <v>213</v>
      </c>
      <c r="C2966" s="106">
        <v>210168101</v>
      </c>
      <c r="D2966" s="111" t="s">
        <v>1089</v>
      </c>
      <c r="E2966" s="134"/>
      <c r="F2966" s="35">
        <v>156172</v>
      </c>
    </row>
    <row r="2967" spans="1:6" s="4" customFormat="1" ht="12">
      <c r="A2967" s="106">
        <v>540806</v>
      </c>
      <c r="B2967" s="111" t="s">
        <v>213</v>
      </c>
      <c r="C2967" s="106" t="s">
        <v>2370</v>
      </c>
      <c r="D2967" s="111" t="s">
        <v>1981</v>
      </c>
      <c r="E2967" s="134"/>
      <c r="F2967" s="35">
        <v>35718</v>
      </c>
    </row>
    <row r="2968" spans="1:6" s="4" customFormat="1" ht="12">
      <c r="A2968" s="106">
        <v>540806</v>
      </c>
      <c r="B2968" s="111" t="s">
        <v>213</v>
      </c>
      <c r="C2968" s="106" t="s">
        <v>388</v>
      </c>
      <c r="D2968" s="111" t="s">
        <v>2371</v>
      </c>
      <c r="E2968" s="134"/>
      <c r="F2968" s="35">
        <v>20854</v>
      </c>
    </row>
    <row r="2969" spans="1:6" s="4" customFormat="1" ht="12">
      <c r="A2969" s="106">
        <v>540806</v>
      </c>
      <c r="B2969" s="111" t="s">
        <v>213</v>
      </c>
      <c r="C2969" s="106" t="s">
        <v>403</v>
      </c>
      <c r="D2969" s="111" t="s">
        <v>2372</v>
      </c>
      <c r="E2969" s="134"/>
      <c r="F2969" s="35">
        <v>82985</v>
      </c>
    </row>
    <row r="2970" spans="1:6" s="4" customFormat="1" ht="12">
      <c r="A2970" s="106">
        <v>540806</v>
      </c>
      <c r="B2970" s="111" t="s">
        <v>213</v>
      </c>
      <c r="C2970" s="106">
        <v>215268152</v>
      </c>
      <c r="D2970" s="111" t="s">
        <v>2373</v>
      </c>
      <c r="E2970" s="134"/>
      <c r="F2970" s="35">
        <v>65749</v>
      </c>
    </row>
    <row r="2971" spans="1:6" s="4" customFormat="1" ht="12">
      <c r="A2971" s="106">
        <v>540806</v>
      </c>
      <c r="B2971" s="111" t="s">
        <v>213</v>
      </c>
      <c r="C2971" s="106">
        <v>216068160</v>
      </c>
      <c r="D2971" s="111" t="s">
        <v>2374</v>
      </c>
      <c r="E2971" s="134"/>
      <c r="F2971" s="35">
        <v>42378</v>
      </c>
    </row>
    <row r="2972" spans="1:6" s="4" customFormat="1" ht="12">
      <c r="A2972" s="106">
        <v>540806</v>
      </c>
      <c r="B2972" s="111" t="s">
        <v>213</v>
      </c>
      <c r="C2972" s="106">
        <v>216268162</v>
      </c>
      <c r="D2972" s="111" t="s">
        <v>2375</v>
      </c>
      <c r="E2972" s="134"/>
      <c r="F2972" s="35">
        <v>84213</v>
      </c>
    </row>
    <row r="2973" spans="1:6" s="4" customFormat="1" ht="12">
      <c r="A2973" s="106">
        <v>540806</v>
      </c>
      <c r="B2973" s="111" t="s">
        <v>213</v>
      </c>
      <c r="C2973" s="106" t="s">
        <v>427</v>
      </c>
      <c r="D2973" s="111" t="s">
        <v>2376</v>
      </c>
      <c r="E2973" s="134"/>
      <c r="F2973" s="35">
        <v>188197</v>
      </c>
    </row>
    <row r="2974" spans="1:6" s="4" customFormat="1" ht="12">
      <c r="A2974" s="106">
        <v>540806</v>
      </c>
      <c r="B2974" s="111" t="s">
        <v>213</v>
      </c>
      <c r="C2974" s="106" t="s">
        <v>429</v>
      </c>
      <c r="D2974" s="111" t="s">
        <v>2377</v>
      </c>
      <c r="E2974" s="134"/>
      <c r="F2974" s="35">
        <v>42624</v>
      </c>
    </row>
    <row r="2975" spans="1:6" s="4" customFormat="1" ht="12">
      <c r="A2975" s="106">
        <v>540806</v>
      </c>
      <c r="B2975" s="111" t="s">
        <v>213</v>
      </c>
      <c r="C2975" s="106" t="s">
        <v>435</v>
      </c>
      <c r="D2975" s="111" t="s">
        <v>1942</v>
      </c>
      <c r="E2975" s="134"/>
      <c r="F2975" s="35">
        <v>43134</v>
      </c>
    </row>
    <row r="2976" spans="1:6" s="4" customFormat="1" ht="12">
      <c r="A2976" s="106">
        <v>540806</v>
      </c>
      <c r="B2976" s="111" t="s">
        <v>213</v>
      </c>
      <c r="C2976" s="106" t="s">
        <v>443</v>
      </c>
      <c r="D2976" s="111" t="s">
        <v>2378</v>
      </c>
      <c r="E2976" s="134"/>
      <c r="F2976" s="35">
        <v>57204</v>
      </c>
    </row>
    <row r="2977" spans="1:6" s="4" customFormat="1" ht="12">
      <c r="A2977" s="106">
        <v>540806</v>
      </c>
      <c r="B2977" s="111" t="s">
        <v>213</v>
      </c>
      <c r="C2977" s="106" t="s">
        <v>464</v>
      </c>
      <c r="D2977" s="111" t="s">
        <v>2379</v>
      </c>
      <c r="E2977" s="134"/>
      <c r="F2977" s="35">
        <v>429442</v>
      </c>
    </row>
    <row r="2978" spans="1:6" s="4" customFormat="1" ht="12">
      <c r="A2978" s="106">
        <v>540806</v>
      </c>
      <c r="B2978" s="111" t="s">
        <v>213</v>
      </c>
      <c r="C2978" s="106" t="s">
        <v>475</v>
      </c>
      <c r="D2978" s="111" t="s">
        <v>1217</v>
      </c>
      <c r="E2978" s="134"/>
      <c r="F2978" s="35">
        <v>100496</v>
      </c>
    </row>
    <row r="2979" spans="1:6" s="4" customFormat="1" ht="12">
      <c r="A2979" s="106">
        <v>540806</v>
      </c>
      <c r="B2979" s="111" t="s">
        <v>213</v>
      </c>
      <c r="C2979" s="106" t="s">
        <v>479</v>
      </c>
      <c r="D2979" s="111" t="s">
        <v>2380</v>
      </c>
      <c r="E2979" s="134"/>
      <c r="F2979" s="35">
        <v>31418</v>
      </c>
    </row>
    <row r="2980" spans="1:6" s="4" customFormat="1" ht="12">
      <c r="A2980" s="106">
        <v>540806</v>
      </c>
      <c r="B2980" s="111" t="s">
        <v>213</v>
      </c>
      <c r="C2980" s="106" t="s">
        <v>481</v>
      </c>
      <c r="D2980" s="111" t="s">
        <v>2381</v>
      </c>
      <c r="E2980" s="134"/>
      <c r="F2980" s="35">
        <v>59785</v>
      </c>
    </row>
    <row r="2981" spans="1:6" s="4" customFormat="1" ht="12">
      <c r="A2981" s="106">
        <v>540806</v>
      </c>
      <c r="B2981" s="111" t="s">
        <v>213</v>
      </c>
      <c r="C2981" s="106" t="s">
        <v>489</v>
      </c>
      <c r="D2981" s="111" t="s">
        <v>2382</v>
      </c>
      <c r="E2981" s="134"/>
      <c r="F2981" s="35">
        <v>77316</v>
      </c>
    </row>
    <row r="2982" spans="1:6" s="4" customFormat="1" ht="12">
      <c r="A2982" s="106">
        <v>540806</v>
      </c>
      <c r="B2982" s="111" t="s">
        <v>213</v>
      </c>
      <c r="C2982" s="106">
        <v>212968229</v>
      </c>
      <c r="D2982" s="111" t="s">
        <v>2383</v>
      </c>
      <c r="E2982" s="134"/>
      <c r="F2982" s="35">
        <v>132706</v>
      </c>
    </row>
    <row r="2983" spans="1:6" s="4" customFormat="1" ht="12">
      <c r="A2983" s="106">
        <v>540806</v>
      </c>
      <c r="B2983" s="111" t="s">
        <v>213</v>
      </c>
      <c r="C2983" s="106" t="s">
        <v>1050</v>
      </c>
      <c r="D2983" s="111" t="s">
        <v>2121</v>
      </c>
      <c r="E2983" s="134"/>
      <c r="F2983" s="35">
        <v>241188</v>
      </c>
    </row>
    <row r="2984" spans="1:6" s="4" customFormat="1" ht="12">
      <c r="A2984" s="106">
        <v>540806</v>
      </c>
      <c r="B2984" s="111" t="s">
        <v>213</v>
      </c>
      <c r="C2984" s="106" t="s">
        <v>3025</v>
      </c>
      <c r="D2984" s="111" t="s">
        <v>2384</v>
      </c>
      <c r="E2984" s="134"/>
      <c r="F2984" s="35">
        <v>59655</v>
      </c>
    </row>
    <row r="2985" spans="1:6" s="4" customFormat="1" ht="12">
      <c r="A2985" s="106">
        <v>540806</v>
      </c>
      <c r="B2985" s="111" t="s">
        <v>213</v>
      </c>
      <c r="C2985" s="106" t="s">
        <v>2385</v>
      </c>
      <c r="D2985" s="111" t="s">
        <v>2386</v>
      </c>
      <c r="E2985" s="134"/>
      <c r="F2985" s="35">
        <v>78373</v>
      </c>
    </row>
    <row r="2986" spans="1:6" s="4" customFormat="1" ht="12">
      <c r="A2986" s="106">
        <v>540806</v>
      </c>
      <c r="B2986" s="111" t="s">
        <v>213</v>
      </c>
      <c r="C2986" s="106" t="s">
        <v>2938</v>
      </c>
      <c r="D2986" s="111" t="s">
        <v>2387</v>
      </c>
      <c r="E2986" s="134"/>
      <c r="F2986" s="35">
        <v>180849</v>
      </c>
    </row>
    <row r="2987" spans="1:6" s="4" customFormat="1" ht="12">
      <c r="A2987" s="106">
        <v>540806</v>
      </c>
      <c r="B2987" s="111" t="s">
        <v>213</v>
      </c>
      <c r="C2987" s="106" t="s">
        <v>2949</v>
      </c>
      <c r="D2987" s="111" t="s">
        <v>2388</v>
      </c>
      <c r="E2987" s="134"/>
      <c r="F2987" s="35">
        <v>51101</v>
      </c>
    </row>
    <row r="2988" spans="1:6" s="4" customFormat="1" ht="12">
      <c r="A2988" s="106">
        <v>540806</v>
      </c>
      <c r="B2988" s="111" t="s">
        <v>213</v>
      </c>
      <c r="C2988" s="106" t="s">
        <v>2951</v>
      </c>
      <c r="D2988" s="111" t="s">
        <v>2389</v>
      </c>
      <c r="E2988" s="134"/>
      <c r="F2988" s="35">
        <v>54364</v>
      </c>
    </row>
    <row r="2989" spans="1:6" s="4" customFormat="1" ht="12">
      <c r="A2989" s="106">
        <v>540806</v>
      </c>
      <c r="B2989" s="111" t="s">
        <v>213</v>
      </c>
      <c r="C2989" s="106" t="s">
        <v>2967</v>
      </c>
      <c r="D2989" s="111" t="s">
        <v>2390</v>
      </c>
      <c r="E2989" s="134"/>
      <c r="F2989" s="35">
        <v>110680</v>
      </c>
    </row>
    <row r="2990" spans="1:6" s="4" customFormat="1" ht="12">
      <c r="A2990" s="106">
        <v>540806</v>
      </c>
      <c r="B2990" s="111" t="s">
        <v>213</v>
      </c>
      <c r="C2990" s="106" t="s">
        <v>2996</v>
      </c>
      <c r="D2990" s="111" t="s">
        <v>2391</v>
      </c>
      <c r="E2990" s="134"/>
      <c r="F2990" s="35">
        <v>43897</v>
      </c>
    </row>
    <row r="2991" spans="1:6" s="4" customFormat="1" ht="12">
      <c r="A2991" s="106">
        <v>540806</v>
      </c>
      <c r="B2991" s="111" t="s">
        <v>213</v>
      </c>
      <c r="C2991" s="106" t="s">
        <v>3000</v>
      </c>
      <c r="D2991" s="111" t="s">
        <v>2392</v>
      </c>
      <c r="E2991" s="134"/>
      <c r="F2991" s="35">
        <v>66135</v>
      </c>
    </row>
    <row r="2992" spans="1:6" s="4" customFormat="1" ht="12">
      <c r="A2992" s="106">
        <v>540806</v>
      </c>
      <c r="B2992" s="111" t="s">
        <v>213</v>
      </c>
      <c r="C2992" s="106" t="s">
        <v>3023</v>
      </c>
      <c r="D2992" s="111" t="s">
        <v>2393</v>
      </c>
      <c r="E2992" s="134"/>
      <c r="F2992" s="35">
        <v>81440</v>
      </c>
    </row>
    <row r="2993" spans="1:6" s="4" customFormat="1" ht="12">
      <c r="A2993" s="106">
        <v>540806</v>
      </c>
      <c r="B2993" s="111" t="s">
        <v>213</v>
      </c>
      <c r="C2993" s="106" t="s">
        <v>3034</v>
      </c>
      <c r="D2993" s="111" t="s">
        <v>1235</v>
      </c>
      <c r="E2993" s="134"/>
      <c r="F2993" s="35">
        <v>89128</v>
      </c>
    </row>
    <row r="2994" spans="1:6" s="4" customFormat="1" ht="12">
      <c r="A2994" s="106">
        <v>540806</v>
      </c>
      <c r="B2994" s="111" t="s">
        <v>213</v>
      </c>
      <c r="C2994" s="106">
        <v>212268322</v>
      </c>
      <c r="D2994" s="111" t="s">
        <v>2394</v>
      </c>
      <c r="E2994" s="134"/>
      <c r="F2994" s="35">
        <v>39083</v>
      </c>
    </row>
    <row r="2995" spans="1:6" s="4" customFormat="1" ht="12">
      <c r="A2995" s="106">
        <v>540806</v>
      </c>
      <c r="B2995" s="111" t="s">
        <v>213</v>
      </c>
      <c r="C2995" s="106" t="s">
        <v>3051</v>
      </c>
      <c r="D2995" s="111" t="s">
        <v>2395</v>
      </c>
      <c r="E2995" s="134"/>
      <c r="F2995" s="35">
        <v>51796</v>
      </c>
    </row>
    <row r="2996" spans="1:6" s="4" customFormat="1" ht="12">
      <c r="A2996" s="106">
        <v>540806</v>
      </c>
      <c r="B2996" s="111" t="s">
        <v>213</v>
      </c>
      <c r="C2996" s="106">
        <v>212768327</v>
      </c>
      <c r="D2996" s="111" t="s">
        <v>2396</v>
      </c>
      <c r="E2996" s="134"/>
      <c r="F2996" s="35">
        <v>63102</v>
      </c>
    </row>
    <row r="2997" spans="1:6" s="4" customFormat="1" ht="12">
      <c r="A2997" s="106">
        <v>540806</v>
      </c>
      <c r="B2997" s="111" t="s">
        <v>213</v>
      </c>
      <c r="C2997" s="103" t="s">
        <v>3062</v>
      </c>
      <c r="D2997" s="111" t="s">
        <v>2397</v>
      </c>
      <c r="E2997" s="133"/>
      <c r="F2997" s="35">
        <v>23555</v>
      </c>
    </row>
    <row r="2998" spans="1:6" s="4" customFormat="1" ht="12">
      <c r="A2998" s="106">
        <v>540806</v>
      </c>
      <c r="B2998" s="111" t="s">
        <v>213</v>
      </c>
      <c r="C2998" s="103" t="s">
        <v>3086</v>
      </c>
      <c r="D2998" s="111" t="s">
        <v>2398</v>
      </c>
      <c r="E2998" s="133"/>
      <c r="F2998" s="35">
        <v>62261</v>
      </c>
    </row>
    <row r="2999" spans="1:6" s="4" customFormat="1" ht="12">
      <c r="A2999" s="106">
        <v>540806</v>
      </c>
      <c r="B2999" s="111" t="s">
        <v>213</v>
      </c>
      <c r="C2999" s="103" t="s">
        <v>3088</v>
      </c>
      <c r="D2999" s="111" t="s">
        <v>2399</v>
      </c>
      <c r="E2999" s="133"/>
      <c r="F2999" s="35">
        <v>22213</v>
      </c>
    </row>
    <row r="3000" spans="1:6" s="4" customFormat="1" ht="12">
      <c r="A3000" s="106">
        <v>540806</v>
      </c>
      <c r="B3000" s="111" t="s">
        <v>213</v>
      </c>
      <c r="C3000" s="103" t="s">
        <v>3098</v>
      </c>
      <c r="D3000" s="111" t="s">
        <v>2400</v>
      </c>
      <c r="E3000" s="133"/>
      <c r="F3000" s="35">
        <v>95529</v>
      </c>
    </row>
    <row r="3001" spans="1:6" s="4" customFormat="1" ht="12">
      <c r="A3001" s="106">
        <v>540806</v>
      </c>
      <c r="B3001" s="111" t="s">
        <v>213</v>
      </c>
      <c r="C3001" s="107">
        <v>218568385</v>
      </c>
      <c r="D3001" s="111" t="s">
        <v>2401</v>
      </c>
      <c r="E3001" s="135"/>
      <c r="F3001" s="35">
        <v>175235</v>
      </c>
    </row>
    <row r="3002" spans="1:6" s="4" customFormat="1" ht="12">
      <c r="A3002" s="106">
        <v>540806</v>
      </c>
      <c r="B3002" s="111" t="s">
        <v>213</v>
      </c>
      <c r="C3002" s="103">
        <v>219768397</v>
      </c>
      <c r="D3002" s="111" t="s">
        <v>1928</v>
      </c>
      <c r="E3002" s="133"/>
      <c r="F3002" s="35">
        <v>72678</v>
      </c>
    </row>
    <row r="3003" spans="1:6" s="4" customFormat="1" ht="12">
      <c r="A3003" s="106">
        <v>540806</v>
      </c>
      <c r="B3003" s="111" t="s">
        <v>213</v>
      </c>
      <c r="C3003" s="103" t="s">
        <v>2402</v>
      </c>
      <c r="D3003" s="111" t="s">
        <v>2403</v>
      </c>
      <c r="E3003" s="133"/>
      <c r="F3003" s="35">
        <v>369035</v>
      </c>
    </row>
    <row r="3004" spans="1:6" s="4" customFormat="1" ht="12">
      <c r="A3004" s="106">
        <v>540806</v>
      </c>
      <c r="B3004" s="111" t="s">
        <v>213</v>
      </c>
      <c r="C3004" s="103" t="s">
        <v>3151</v>
      </c>
      <c r="D3004" s="111" t="s">
        <v>2404</v>
      </c>
      <c r="E3004" s="133"/>
      <c r="F3004" s="35">
        <v>157228</v>
      </c>
    </row>
    <row r="3005" spans="1:6" s="4" customFormat="1" ht="12">
      <c r="A3005" s="106">
        <v>540806</v>
      </c>
      <c r="B3005" s="111" t="s">
        <v>213</v>
      </c>
      <c r="C3005" s="103" t="s">
        <v>3155</v>
      </c>
      <c r="D3005" s="111" t="s">
        <v>2405</v>
      </c>
      <c r="E3005" s="133"/>
      <c r="F3005" s="35">
        <v>46498</v>
      </c>
    </row>
    <row r="3006" spans="1:6" s="4" customFormat="1" ht="12">
      <c r="A3006" s="106">
        <v>540806</v>
      </c>
      <c r="B3006" s="111" t="s">
        <v>213</v>
      </c>
      <c r="C3006" s="103" t="s">
        <v>3166</v>
      </c>
      <c r="D3006" s="111" t="s">
        <v>2406</v>
      </c>
      <c r="E3006" s="133"/>
      <c r="F3006" s="35">
        <v>304828</v>
      </c>
    </row>
    <row r="3007" spans="1:6" s="4" customFormat="1" ht="12">
      <c r="A3007" s="106">
        <v>540806</v>
      </c>
      <c r="B3007" s="111" t="s">
        <v>213</v>
      </c>
      <c r="C3007" s="103" t="s">
        <v>3184</v>
      </c>
      <c r="D3007" s="111" t="s">
        <v>2407</v>
      </c>
      <c r="E3007" s="133"/>
      <c r="F3007" s="35">
        <v>103014</v>
      </c>
    </row>
    <row r="3008" spans="1:6" s="4" customFormat="1" ht="12">
      <c r="A3008" s="106">
        <v>540806</v>
      </c>
      <c r="B3008" s="111" t="s">
        <v>213</v>
      </c>
      <c r="C3008" s="103" t="s">
        <v>3202</v>
      </c>
      <c r="D3008" s="111" t="s">
        <v>2408</v>
      </c>
      <c r="E3008" s="133"/>
      <c r="F3008" s="35">
        <v>150935</v>
      </c>
    </row>
    <row r="3009" spans="1:6" s="4" customFormat="1" ht="12">
      <c r="A3009" s="106">
        <v>540806</v>
      </c>
      <c r="B3009" s="111" t="s">
        <v>213</v>
      </c>
      <c r="C3009" s="103" t="s">
        <v>3204</v>
      </c>
      <c r="D3009" s="111" t="s">
        <v>2409</v>
      </c>
      <c r="E3009" s="133"/>
      <c r="F3009" s="35">
        <v>64769</v>
      </c>
    </row>
    <row r="3010" spans="1:6" s="4" customFormat="1" ht="12">
      <c r="A3010" s="106">
        <v>540806</v>
      </c>
      <c r="B3010" s="111" t="s">
        <v>213</v>
      </c>
      <c r="C3010" s="103" t="s">
        <v>554</v>
      </c>
      <c r="D3010" s="111" t="s">
        <v>2410</v>
      </c>
      <c r="E3010" s="133"/>
      <c r="F3010" s="35">
        <v>65265</v>
      </c>
    </row>
    <row r="3011" spans="1:6" s="4" customFormat="1" ht="12">
      <c r="A3011" s="106">
        <v>540806</v>
      </c>
      <c r="B3011" s="111" t="s">
        <v>213</v>
      </c>
      <c r="C3011" s="103" t="s">
        <v>556</v>
      </c>
      <c r="D3011" s="111" t="s">
        <v>2411</v>
      </c>
      <c r="E3011" s="133"/>
      <c r="F3011" s="35">
        <v>160873</v>
      </c>
    </row>
    <row r="3012" spans="1:6" s="4" customFormat="1" ht="12">
      <c r="A3012" s="106">
        <v>540806</v>
      </c>
      <c r="B3012" s="111" t="s">
        <v>213</v>
      </c>
      <c r="C3012" s="103" t="s">
        <v>561</v>
      </c>
      <c r="D3012" s="111" t="s">
        <v>2412</v>
      </c>
      <c r="E3012" s="133"/>
      <c r="F3012" s="35">
        <v>77730</v>
      </c>
    </row>
    <row r="3013" spans="1:6" s="4" customFormat="1" ht="12">
      <c r="A3013" s="106">
        <v>540806</v>
      </c>
      <c r="B3013" s="111" t="s">
        <v>213</v>
      </c>
      <c r="C3013" s="103" t="s">
        <v>586</v>
      </c>
      <c r="D3013" s="111" t="s">
        <v>2413</v>
      </c>
      <c r="E3013" s="133"/>
      <c r="F3013" s="35">
        <v>28300</v>
      </c>
    </row>
    <row r="3014" spans="1:6" s="4" customFormat="1" ht="12">
      <c r="A3014" s="106">
        <v>540806</v>
      </c>
      <c r="B3014" s="111" t="s">
        <v>213</v>
      </c>
      <c r="C3014" s="103" t="s">
        <v>588</v>
      </c>
      <c r="D3014" s="111" t="s">
        <v>2414</v>
      </c>
      <c r="E3014" s="133"/>
      <c r="F3014" s="35">
        <v>31619</v>
      </c>
    </row>
    <row r="3015" spans="1:6" s="4" customFormat="1" ht="12">
      <c r="A3015" s="106">
        <v>540806</v>
      </c>
      <c r="B3015" s="111" t="s">
        <v>213</v>
      </c>
      <c r="C3015" s="103" t="s">
        <v>597</v>
      </c>
      <c r="D3015" s="111" t="s">
        <v>2415</v>
      </c>
      <c r="E3015" s="133"/>
      <c r="F3015" s="35">
        <v>44226</v>
      </c>
    </row>
    <row r="3016" spans="1:6" s="4" customFormat="1" ht="12">
      <c r="A3016" s="106">
        <v>540806</v>
      </c>
      <c r="B3016" s="111" t="s">
        <v>213</v>
      </c>
      <c r="C3016" s="103" t="s">
        <v>621</v>
      </c>
      <c r="D3016" s="111" t="s">
        <v>2416</v>
      </c>
      <c r="E3016" s="133"/>
      <c r="F3016" s="35">
        <v>1328260</v>
      </c>
    </row>
    <row r="3017" spans="1:6" s="4" customFormat="1" ht="12">
      <c r="A3017" s="106">
        <v>540806</v>
      </c>
      <c r="B3017" s="111" t="s">
        <v>213</v>
      </c>
      <c r="C3017" s="103" t="s">
        <v>626</v>
      </c>
      <c r="D3017" s="111" t="s">
        <v>2417</v>
      </c>
      <c r="E3017" s="133"/>
      <c r="F3017" s="35">
        <v>169357</v>
      </c>
    </row>
    <row r="3018" spans="1:6" s="4" customFormat="1" ht="12">
      <c r="A3018" s="106">
        <v>540806</v>
      </c>
      <c r="B3018" s="111" t="s">
        <v>213</v>
      </c>
      <c r="C3018" s="103" t="s">
        <v>646</v>
      </c>
      <c r="D3018" s="111" t="s">
        <v>2418</v>
      </c>
      <c r="E3018" s="133"/>
      <c r="F3018" s="35">
        <v>246708</v>
      </c>
    </row>
    <row r="3019" spans="1:6" s="4" customFormat="1" ht="12">
      <c r="A3019" s="106">
        <v>540806</v>
      </c>
      <c r="B3019" s="111" t="s">
        <v>213</v>
      </c>
      <c r="C3019" s="103" t="s">
        <v>661</v>
      </c>
      <c r="D3019" s="111" t="s">
        <v>2419</v>
      </c>
      <c r="E3019" s="133"/>
      <c r="F3019" s="35">
        <v>118102</v>
      </c>
    </row>
    <row r="3020" spans="1:6" s="4" customFormat="1" ht="12">
      <c r="A3020" s="106">
        <v>540806</v>
      </c>
      <c r="B3020" s="111" t="s">
        <v>213</v>
      </c>
      <c r="C3020" s="103" t="s">
        <v>668</v>
      </c>
      <c r="D3020" s="111" t="s">
        <v>2420</v>
      </c>
      <c r="E3020" s="133"/>
      <c r="F3020" s="35">
        <v>556689</v>
      </c>
    </row>
    <row r="3021" spans="1:6" s="4" customFormat="1" ht="12">
      <c r="A3021" s="106">
        <v>540806</v>
      </c>
      <c r="B3021" s="111" t="s">
        <v>213</v>
      </c>
      <c r="C3021" s="103" t="s">
        <v>704</v>
      </c>
      <c r="D3021" s="111" t="s">
        <v>1278</v>
      </c>
      <c r="E3021" s="133"/>
      <c r="F3021" s="35">
        <v>442917</v>
      </c>
    </row>
    <row r="3022" spans="1:6" s="4" customFormat="1" ht="12">
      <c r="A3022" s="106">
        <v>540806</v>
      </c>
      <c r="B3022" s="111" t="s">
        <v>213</v>
      </c>
      <c r="C3022" s="103" t="s">
        <v>714</v>
      </c>
      <c r="D3022" s="111" t="s">
        <v>2421</v>
      </c>
      <c r="E3022" s="133"/>
      <c r="F3022" s="35">
        <v>329780</v>
      </c>
    </row>
    <row r="3023" spans="1:6" s="4" customFormat="1" ht="12">
      <c r="A3023" s="106">
        <v>540806</v>
      </c>
      <c r="B3023" s="111" t="s">
        <v>213</v>
      </c>
      <c r="C3023" s="103" t="s">
        <v>744</v>
      </c>
      <c r="D3023" s="111" t="s">
        <v>1113</v>
      </c>
      <c r="E3023" s="133"/>
      <c r="F3023" s="35">
        <v>163220</v>
      </c>
    </row>
    <row r="3024" spans="1:6" s="4" customFormat="1" ht="12">
      <c r="A3024" s="106">
        <v>540806</v>
      </c>
      <c r="B3024" s="111" t="s">
        <v>213</v>
      </c>
      <c r="C3024" s="103" t="s">
        <v>751</v>
      </c>
      <c r="D3024" s="111" t="s">
        <v>2422</v>
      </c>
      <c r="E3024" s="133"/>
      <c r="F3024" s="35">
        <v>50938</v>
      </c>
    </row>
    <row r="3025" spans="1:6" s="4" customFormat="1" ht="12">
      <c r="A3025" s="106">
        <v>540806</v>
      </c>
      <c r="B3025" s="111" t="s">
        <v>213</v>
      </c>
      <c r="C3025" s="103" t="s">
        <v>767</v>
      </c>
      <c r="D3025" s="111" t="s">
        <v>2423</v>
      </c>
      <c r="E3025" s="133"/>
      <c r="F3025" s="35">
        <v>538318</v>
      </c>
    </row>
    <row r="3026" spans="1:6" s="4" customFormat="1" ht="12">
      <c r="A3026" s="106">
        <v>540806</v>
      </c>
      <c r="B3026" s="111" t="s">
        <v>213</v>
      </c>
      <c r="C3026" s="103" t="s">
        <v>771</v>
      </c>
      <c r="D3026" s="111" t="s">
        <v>2424</v>
      </c>
      <c r="E3026" s="133"/>
      <c r="F3026" s="35">
        <v>80401</v>
      </c>
    </row>
    <row r="3027" spans="1:6" s="4" customFormat="1" ht="12">
      <c r="A3027" s="106">
        <v>540806</v>
      </c>
      <c r="B3027" s="111" t="s">
        <v>213</v>
      </c>
      <c r="C3027" s="103" t="s">
        <v>774</v>
      </c>
      <c r="D3027" s="111" t="s">
        <v>2425</v>
      </c>
      <c r="E3027" s="133"/>
      <c r="F3027" s="35">
        <v>64202</v>
      </c>
    </row>
    <row r="3028" spans="1:6" s="4" customFormat="1" ht="12">
      <c r="A3028" s="106">
        <v>540806</v>
      </c>
      <c r="B3028" s="111" t="s">
        <v>213</v>
      </c>
      <c r="C3028" s="103" t="s">
        <v>791</v>
      </c>
      <c r="D3028" s="111" t="s">
        <v>2426</v>
      </c>
      <c r="E3028" s="133"/>
      <c r="F3028" s="35">
        <v>47072</v>
      </c>
    </row>
    <row r="3029" spans="1:6" s="4" customFormat="1" ht="12">
      <c r="A3029" s="106">
        <v>540806</v>
      </c>
      <c r="B3029" s="111" t="s">
        <v>213</v>
      </c>
      <c r="C3029" s="103">
        <v>218968689</v>
      </c>
      <c r="D3029" s="111" t="s">
        <v>2427</v>
      </c>
      <c r="E3029" s="133"/>
      <c r="F3029" s="35">
        <v>440070</v>
      </c>
    </row>
    <row r="3030" spans="1:6" s="4" customFormat="1" ht="12">
      <c r="A3030" s="106">
        <v>540806</v>
      </c>
      <c r="B3030" s="111" t="s">
        <v>213</v>
      </c>
      <c r="C3030" s="103" t="s">
        <v>2428</v>
      </c>
      <c r="D3030" s="111" t="s">
        <v>1298</v>
      </c>
      <c r="E3030" s="133"/>
      <c r="F3030" s="35">
        <v>69429</v>
      </c>
    </row>
    <row r="3031" spans="1:6" s="4" customFormat="1" ht="12">
      <c r="A3031" s="106">
        <v>540806</v>
      </c>
      <c r="B3031" s="111" t="s">
        <v>213</v>
      </c>
      <c r="C3031" s="103" t="s">
        <v>812</v>
      </c>
      <c r="D3031" s="111" t="s">
        <v>2429</v>
      </c>
      <c r="E3031" s="133"/>
      <c r="F3031" s="35">
        <v>62347</v>
      </c>
    </row>
    <row r="3032" spans="1:6" s="4" customFormat="1" ht="12">
      <c r="A3032" s="106">
        <v>540806</v>
      </c>
      <c r="B3032" s="111" t="s">
        <v>213</v>
      </c>
      <c r="C3032" s="103" t="s">
        <v>3258</v>
      </c>
      <c r="D3032" s="111" t="s">
        <v>2430</v>
      </c>
      <c r="E3032" s="133"/>
      <c r="F3032" s="35">
        <v>135395</v>
      </c>
    </row>
    <row r="3033" spans="1:6" s="4" customFormat="1" ht="12">
      <c r="A3033" s="106">
        <v>540806</v>
      </c>
      <c r="B3033" s="111" t="s">
        <v>213</v>
      </c>
      <c r="C3033" s="103" t="s">
        <v>2431</v>
      </c>
      <c r="D3033" s="111" t="s">
        <v>2432</v>
      </c>
      <c r="E3033" s="133"/>
      <c r="F3033" s="35">
        <v>362046</v>
      </c>
    </row>
    <row r="3034" spans="1:6" s="4" customFormat="1" ht="12">
      <c r="A3034" s="106">
        <v>540806</v>
      </c>
      <c r="B3034" s="111" t="s">
        <v>213</v>
      </c>
      <c r="C3034" s="103" t="s">
        <v>3286</v>
      </c>
      <c r="D3034" s="111" t="s">
        <v>2433</v>
      </c>
      <c r="E3034" s="133"/>
      <c r="F3034" s="35">
        <v>164598</v>
      </c>
    </row>
    <row r="3035" spans="1:6" s="4" customFormat="1" ht="12">
      <c r="A3035" s="106">
        <v>540806</v>
      </c>
      <c r="B3035" s="111" t="s">
        <v>213</v>
      </c>
      <c r="C3035" s="103" t="s">
        <v>2434</v>
      </c>
      <c r="D3035" s="111" t="s">
        <v>1107</v>
      </c>
      <c r="E3035" s="133"/>
      <c r="F3035" s="35">
        <v>121376</v>
      </c>
    </row>
    <row r="3036" spans="1:6" s="4" customFormat="1" ht="12">
      <c r="A3036" s="106">
        <v>540806</v>
      </c>
      <c r="B3036" s="111" t="s">
        <v>213</v>
      </c>
      <c r="C3036" s="103" t="s">
        <v>3299</v>
      </c>
      <c r="D3036" s="111" t="s">
        <v>2435</v>
      </c>
      <c r="E3036" s="133"/>
      <c r="F3036" s="35">
        <v>57524</v>
      </c>
    </row>
    <row r="3037" spans="1:6" s="4" customFormat="1" ht="12">
      <c r="A3037" s="106">
        <v>540806</v>
      </c>
      <c r="B3037" s="111" t="s">
        <v>213</v>
      </c>
      <c r="C3037" s="103" t="s">
        <v>3355</v>
      </c>
      <c r="D3037" s="111" t="s">
        <v>2436</v>
      </c>
      <c r="E3037" s="133"/>
      <c r="F3037" s="35">
        <v>73636</v>
      </c>
    </row>
    <row r="3038" spans="1:6" s="4" customFormat="1" ht="12">
      <c r="A3038" s="106">
        <v>540806</v>
      </c>
      <c r="B3038" s="111" t="s">
        <v>213</v>
      </c>
      <c r="C3038" s="103">
        <v>215568855</v>
      </c>
      <c r="D3038" s="111" t="s">
        <v>2437</v>
      </c>
      <c r="E3038" s="133"/>
      <c r="F3038" s="35">
        <v>63744</v>
      </c>
    </row>
    <row r="3039" spans="1:6" s="4" customFormat="1" ht="12">
      <c r="A3039" s="106">
        <v>540806</v>
      </c>
      <c r="B3039" s="111" t="s">
        <v>213</v>
      </c>
      <c r="C3039" s="103" t="s">
        <v>3401</v>
      </c>
      <c r="D3039" s="111" t="s">
        <v>2438</v>
      </c>
      <c r="E3039" s="133"/>
      <c r="F3039" s="35">
        <v>273185</v>
      </c>
    </row>
    <row r="3040" spans="1:6" s="4" customFormat="1" ht="12">
      <c r="A3040" s="106">
        <v>540806</v>
      </c>
      <c r="B3040" s="111" t="s">
        <v>213</v>
      </c>
      <c r="C3040" s="103" t="s">
        <v>3410</v>
      </c>
      <c r="D3040" s="111" t="s">
        <v>2439</v>
      </c>
      <c r="E3040" s="133"/>
      <c r="F3040" s="35">
        <v>42839</v>
      </c>
    </row>
    <row r="3041" spans="1:6" s="4" customFormat="1" ht="12">
      <c r="A3041" s="106">
        <v>540806</v>
      </c>
      <c r="B3041" s="111" t="s">
        <v>213</v>
      </c>
      <c r="C3041" s="103" t="s">
        <v>1010</v>
      </c>
      <c r="D3041" s="111" t="s">
        <v>1423</v>
      </c>
      <c r="E3041" s="133"/>
      <c r="F3041" s="35">
        <v>72406</v>
      </c>
    </row>
    <row r="3042" spans="1:6" s="4" customFormat="1" ht="12">
      <c r="A3042" s="106">
        <v>540806</v>
      </c>
      <c r="B3042" s="111" t="s">
        <v>213</v>
      </c>
      <c r="C3042" s="103" t="s">
        <v>2440</v>
      </c>
      <c r="D3042" s="111" t="s">
        <v>2441</v>
      </c>
      <c r="E3042" s="133"/>
      <c r="F3042" s="35">
        <v>105478</v>
      </c>
    </row>
    <row r="3043" spans="1:6" s="4" customFormat="1" ht="12">
      <c r="A3043" s="106">
        <v>540806</v>
      </c>
      <c r="B3043" s="111" t="s">
        <v>213</v>
      </c>
      <c r="C3043" s="103">
        <v>211070110</v>
      </c>
      <c r="D3043" s="111" t="s">
        <v>1436</v>
      </c>
      <c r="E3043" s="133"/>
      <c r="F3043" s="35">
        <v>200291</v>
      </c>
    </row>
    <row r="3044" spans="1:6" s="4" customFormat="1" ht="12">
      <c r="A3044" s="106">
        <v>540806</v>
      </c>
      <c r="B3044" s="111" t="s">
        <v>213</v>
      </c>
      <c r="C3044" s="103">
        <v>212470124</v>
      </c>
      <c r="D3044" s="111" t="s">
        <v>2442</v>
      </c>
      <c r="E3044" s="133"/>
      <c r="F3044" s="35">
        <v>289683</v>
      </c>
    </row>
    <row r="3045" spans="1:6" s="4" customFormat="1" ht="12">
      <c r="A3045" s="106">
        <v>540806</v>
      </c>
      <c r="B3045" s="111" t="s">
        <v>213</v>
      </c>
      <c r="C3045" s="103">
        <v>210470204</v>
      </c>
      <c r="D3045" s="111" t="s">
        <v>2443</v>
      </c>
      <c r="E3045" s="133"/>
      <c r="F3045" s="35">
        <v>162692</v>
      </c>
    </row>
    <row r="3046" spans="1:6" s="4" customFormat="1" ht="12">
      <c r="A3046" s="106">
        <v>540806</v>
      </c>
      <c r="B3046" s="111" t="s">
        <v>213</v>
      </c>
      <c r="C3046" s="103">
        <v>211570215</v>
      </c>
      <c r="D3046" s="111" t="s">
        <v>2444</v>
      </c>
      <c r="E3046" s="133"/>
      <c r="F3046" s="35">
        <v>914062</v>
      </c>
    </row>
    <row r="3047" spans="1:6" s="4" customFormat="1" ht="12">
      <c r="A3047" s="106">
        <v>540806</v>
      </c>
      <c r="B3047" s="111" t="s">
        <v>213</v>
      </c>
      <c r="C3047" s="103" t="s">
        <v>2445</v>
      </c>
      <c r="D3047" s="111" t="s">
        <v>2446</v>
      </c>
      <c r="E3047" s="133"/>
      <c r="F3047" s="35">
        <v>320939</v>
      </c>
    </row>
    <row r="3048" spans="1:6" s="4" customFormat="1" ht="12">
      <c r="A3048" s="106">
        <v>540806</v>
      </c>
      <c r="B3048" s="111" t="s">
        <v>213</v>
      </c>
      <c r="C3048" s="103">
        <v>213070230</v>
      </c>
      <c r="D3048" s="111" t="s">
        <v>2447</v>
      </c>
      <c r="E3048" s="133"/>
      <c r="F3048" s="35">
        <v>113704</v>
      </c>
    </row>
    <row r="3049" spans="1:6" s="4" customFormat="1" ht="12">
      <c r="A3049" s="106">
        <v>540806</v>
      </c>
      <c r="B3049" s="111" t="s">
        <v>213</v>
      </c>
      <c r="C3049" s="103">
        <v>213370233</v>
      </c>
      <c r="D3049" s="111" t="s">
        <v>2448</v>
      </c>
      <c r="E3049" s="133"/>
      <c r="F3049" s="35">
        <v>165546</v>
      </c>
    </row>
    <row r="3050" spans="1:6" s="4" customFormat="1" ht="12">
      <c r="A3050" s="106">
        <v>540806</v>
      </c>
      <c r="B3050" s="111" t="s">
        <v>213</v>
      </c>
      <c r="C3050" s="103">
        <v>213570235</v>
      </c>
      <c r="D3050" s="111" t="s">
        <v>2449</v>
      </c>
      <c r="E3050" s="133"/>
      <c r="F3050" s="35">
        <v>365229</v>
      </c>
    </row>
    <row r="3051" spans="1:6" s="4" customFormat="1" ht="12">
      <c r="A3051" s="106">
        <v>540806</v>
      </c>
      <c r="B3051" s="111" t="s">
        <v>213</v>
      </c>
      <c r="C3051" s="103">
        <v>216570265</v>
      </c>
      <c r="D3051" s="111" t="s">
        <v>2450</v>
      </c>
      <c r="E3051" s="133"/>
      <c r="F3051" s="35">
        <v>378241</v>
      </c>
    </row>
    <row r="3052" spans="1:6" s="4" customFormat="1" ht="12">
      <c r="A3052" s="106">
        <v>540806</v>
      </c>
      <c r="B3052" s="111" t="s">
        <v>213</v>
      </c>
      <c r="C3052" s="103">
        <v>210070400</v>
      </c>
      <c r="D3052" s="111" t="s">
        <v>1250</v>
      </c>
      <c r="E3052" s="133"/>
      <c r="F3052" s="35">
        <v>264088</v>
      </c>
    </row>
    <row r="3053" spans="1:6" s="4" customFormat="1" ht="12">
      <c r="A3053" s="106">
        <v>540806</v>
      </c>
      <c r="B3053" s="111" t="s">
        <v>213</v>
      </c>
      <c r="C3053" s="103">
        <v>211870418</v>
      </c>
      <c r="D3053" s="111" t="s">
        <v>2451</v>
      </c>
      <c r="E3053" s="133"/>
      <c r="F3053" s="35">
        <v>442067</v>
      </c>
    </row>
    <row r="3054" spans="1:6" s="4" customFormat="1" ht="12">
      <c r="A3054" s="106">
        <v>540806</v>
      </c>
      <c r="B3054" s="111" t="s">
        <v>213</v>
      </c>
      <c r="C3054" s="103">
        <v>212970429</v>
      </c>
      <c r="D3054" s="111" t="s">
        <v>2452</v>
      </c>
      <c r="E3054" s="133"/>
      <c r="F3054" s="35">
        <v>859501</v>
      </c>
    </row>
    <row r="3055" spans="1:6" s="4" customFormat="1" ht="12">
      <c r="A3055" s="106">
        <v>540806</v>
      </c>
      <c r="B3055" s="111" t="s">
        <v>213</v>
      </c>
      <c r="C3055" s="103">
        <v>217370473</v>
      </c>
      <c r="D3055" s="111" t="s">
        <v>2453</v>
      </c>
      <c r="E3055" s="133"/>
      <c r="F3055" s="35">
        <v>296376</v>
      </c>
    </row>
    <row r="3056" spans="1:6" s="4" customFormat="1" ht="12">
      <c r="A3056" s="106">
        <v>540806</v>
      </c>
      <c r="B3056" s="111" t="s">
        <v>213</v>
      </c>
      <c r="C3056" s="103">
        <v>210870508</v>
      </c>
      <c r="D3056" s="111" t="s">
        <v>2454</v>
      </c>
      <c r="E3056" s="133"/>
      <c r="F3056" s="35">
        <v>460242</v>
      </c>
    </row>
    <row r="3057" spans="1:6" s="4" customFormat="1" ht="12">
      <c r="A3057" s="106">
        <v>540806</v>
      </c>
      <c r="B3057" s="111" t="s">
        <v>213</v>
      </c>
      <c r="C3057" s="103">
        <v>212370523</v>
      </c>
      <c r="D3057" s="111" t="s">
        <v>2455</v>
      </c>
      <c r="E3057" s="133"/>
      <c r="F3057" s="35">
        <v>316912</v>
      </c>
    </row>
    <row r="3058" spans="1:6" s="4" customFormat="1" ht="12">
      <c r="A3058" s="106">
        <v>540806</v>
      </c>
      <c r="B3058" s="111" t="s">
        <v>213</v>
      </c>
      <c r="C3058" s="103">
        <v>217070670</v>
      </c>
      <c r="D3058" s="111" t="s">
        <v>2456</v>
      </c>
      <c r="E3058" s="133"/>
      <c r="F3058" s="35">
        <v>806181</v>
      </c>
    </row>
    <row r="3059" spans="1:6" s="4" customFormat="1" ht="12">
      <c r="A3059" s="106">
        <v>540806</v>
      </c>
      <c r="B3059" s="111" t="s">
        <v>213</v>
      </c>
      <c r="C3059" s="103">
        <v>217870678</v>
      </c>
      <c r="D3059" s="111" t="s">
        <v>2457</v>
      </c>
      <c r="E3059" s="133"/>
      <c r="F3059" s="35">
        <v>611306</v>
      </c>
    </row>
    <row r="3060" spans="1:6" s="4" customFormat="1" ht="12">
      <c r="A3060" s="106">
        <v>540806</v>
      </c>
      <c r="B3060" s="111" t="s">
        <v>213</v>
      </c>
      <c r="C3060" s="103">
        <v>210270702</v>
      </c>
      <c r="D3060" s="111" t="s">
        <v>2458</v>
      </c>
      <c r="E3060" s="133"/>
      <c r="F3060" s="35">
        <v>274476</v>
      </c>
    </row>
    <row r="3061" spans="1:6" s="4" customFormat="1" ht="12">
      <c r="A3061" s="106">
        <v>540806</v>
      </c>
      <c r="B3061" s="111" t="s">
        <v>213</v>
      </c>
      <c r="C3061" s="103">
        <v>210870708</v>
      </c>
      <c r="D3061" s="111" t="s">
        <v>2459</v>
      </c>
      <c r="E3061" s="133"/>
      <c r="F3061" s="35">
        <v>941426</v>
      </c>
    </row>
    <row r="3062" spans="1:6" s="4" customFormat="1" ht="12">
      <c r="A3062" s="106">
        <v>540806</v>
      </c>
      <c r="B3062" s="111" t="s">
        <v>213</v>
      </c>
      <c r="C3062" s="103">
        <v>211370713</v>
      </c>
      <c r="D3062" s="111" t="s">
        <v>2460</v>
      </c>
      <c r="E3062" s="133"/>
      <c r="F3062" s="35">
        <v>1165489</v>
      </c>
    </row>
    <row r="3063" spans="1:6" s="4" customFormat="1" ht="12">
      <c r="A3063" s="106">
        <v>540806</v>
      </c>
      <c r="B3063" s="111" t="s">
        <v>213</v>
      </c>
      <c r="C3063" s="103">
        <v>211770717</v>
      </c>
      <c r="D3063" s="111" t="s">
        <v>1292</v>
      </c>
      <c r="E3063" s="133"/>
      <c r="F3063" s="35">
        <v>428597</v>
      </c>
    </row>
    <row r="3064" spans="1:6" s="4" customFormat="1" ht="12">
      <c r="A3064" s="106">
        <v>540806</v>
      </c>
      <c r="B3064" s="111" t="s">
        <v>213</v>
      </c>
      <c r="C3064" s="103">
        <v>214270742</v>
      </c>
      <c r="D3064" s="111" t="s">
        <v>2461</v>
      </c>
      <c r="E3064" s="133"/>
      <c r="F3064" s="35">
        <v>500952</v>
      </c>
    </row>
    <row r="3065" spans="1:6" s="4" customFormat="1" ht="12">
      <c r="A3065" s="106">
        <v>540806</v>
      </c>
      <c r="B3065" s="111" t="s">
        <v>213</v>
      </c>
      <c r="C3065" s="103">
        <v>217170771</v>
      </c>
      <c r="D3065" s="111" t="s">
        <v>1107</v>
      </c>
      <c r="E3065" s="133"/>
      <c r="F3065" s="35">
        <v>617935</v>
      </c>
    </row>
    <row r="3066" spans="1:6" s="4" customFormat="1" ht="12">
      <c r="A3066" s="106">
        <v>540806</v>
      </c>
      <c r="B3066" s="111" t="s">
        <v>213</v>
      </c>
      <c r="C3066" s="103">
        <v>212070820</v>
      </c>
      <c r="D3066" s="111" t="s">
        <v>2462</v>
      </c>
      <c r="E3066" s="133"/>
      <c r="F3066" s="35">
        <v>498171</v>
      </c>
    </row>
    <row r="3067" spans="1:6" s="4" customFormat="1" ht="12">
      <c r="A3067" s="106">
        <v>540806</v>
      </c>
      <c r="B3067" s="111" t="s">
        <v>213</v>
      </c>
      <c r="C3067" s="103">
        <v>212370823</v>
      </c>
      <c r="D3067" s="111" t="s">
        <v>2463</v>
      </c>
      <c r="E3067" s="133"/>
      <c r="F3067" s="35">
        <v>425452</v>
      </c>
    </row>
    <row r="3068" spans="1:6" s="4" customFormat="1" ht="12">
      <c r="A3068" s="106">
        <v>540806</v>
      </c>
      <c r="B3068" s="111" t="s">
        <v>213</v>
      </c>
      <c r="C3068" s="103">
        <v>212473024</v>
      </c>
      <c r="D3068" s="111" t="s">
        <v>2464</v>
      </c>
      <c r="E3068" s="133"/>
      <c r="F3068" s="35">
        <v>98244</v>
      </c>
    </row>
    <row r="3069" spans="1:6" s="4" customFormat="1" ht="12">
      <c r="A3069" s="106">
        <v>540806</v>
      </c>
      <c r="B3069" s="111" t="s">
        <v>213</v>
      </c>
      <c r="C3069" s="103">
        <v>212673026</v>
      </c>
      <c r="D3069" s="111" t="s">
        <v>2465</v>
      </c>
      <c r="E3069" s="133"/>
      <c r="F3069" s="35">
        <v>124879</v>
      </c>
    </row>
    <row r="3070" spans="1:6" s="4" customFormat="1" ht="12">
      <c r="A3070" s="106">
        <v>540806</v>
      </c>
      <c r="B3070" s="111" t="s">
        <v>213</v>
      </c>
      <c r="C3070" s="103">
        <v>213073030</v>
      </c>
      <c r="D3070" s="111" t="s">
        <v>2466</v>
      </c>
      <c r="E3070" s="133"/>
      <c r="F3070" s="35">
        <v>123674</v>
      </c>
    </row>
    <row r="3071" spans="1:6" s="4" customFormat="1" ht="12">
      <c r="A3071" s="106">
        <v>540806</v>
      </c>
      <c r="B3071" s="111" t="s">
        <v>213</v>
      </c>
      <c r="C3071" s="103">
        <v>214373043</v>
      </c>
      <c r="D3071" s="111" t="s">
        <v>2467</v>
      </c>
      <c r="E3071" s="133"/>
      <c r="F3071" s="35">
        <v>148276</v>
      </c>
    </row>
    <row r="3072" spans="1:6" s="4" customFormat="1" ht="12">
      <c r="A3072" s="106">
        <v>540806</v>
      </c>
      <c r="B3072" s="111" t="s">
        <v>213</v>
      </c>
      <c r="C3072" s="103">
        <v>215573055</v>
      </c>
      <c r="D3072" s="111" t="s">
        <v>2468</v>
      </c>
      <c r="E3072" s="133"/>
      <c r="F3072" s="35">
        <v>205316</v>
      </c>
    </row>
    <row r="3073" spans="1:6" s="4" customFormat="1" ht="12">
      <c r="A3073" s="106">
        <v>540806</v>
      </c>
      <c r="B3073" s="111" t="s">
        <v>213</v>
      </c>
      <c r="C3073" s="103">
        <v>216773067</v>
      </c>
      <c r="D3073" s="111" t="s">
        <v>2469</v>
      </c>
      <c r="E3073" s="133"/>
      <c r="F3073" s="35">
        <v>374306</v>
      </c>
    </row>
    <row r="3074" spans="1:6" s="4" customFormat="1" ht="12">
      <c r="A3074" s="106">
        <v>540806</v>
      </c>
      <c r="B3074" s="111" t="s">
        <v>213</v>
      </c>
      <c r="C3074" s="103">
        <v>212473124</v>
      </c>
      <c r="D3074" s="111" t="s">
        <v>2470</v>
      </c>
      <c r="E3074" s="133"/>
      <c r="F3074" s="35">
        <v>274129</v>
      </c>
    </row>
    <row r="3075" spans="1:6" s="4" customFormat="1" ht="12">
      <c r="A3075" s="106">
        <v>540806</v>
      </c>
      <c r="B3075" s="111" t="s">
        <v>213</v>
      </c>
      <c r="C3075" s="103">
        <v>214873148</v>
      </c>
      <c r="D3075" s="111" t="s">
        <v>2471</v>
      </c>
      <c r="E3075" s="133"/>
      <c r="F3075" s="35">
        <v>125151</v>
      </c>
    </row>
    <row r="3076" spans="1:6" s="4" customFormat="1" ht="12">
      <c r="A3076" s="106">
        <v>540806</v>
      </c>
      <c r="B3076" s="111" t="s">
        <v>213</v>
      </c>
      <c r="C3076" s="103">
        <v>215273152</v>
      </c>
      <c r="D3076" s="111" t="s">
        <v>2472</v>
      </c>
      <c r="E3076" s="133"/>
      <c r="F3076" s="35">
        <v>97935</v>
      </c>
    </row>
    <row r="3077" spans="1:6" s="4" customFormat="1" ht="12">
      <c r="A3077" s="106">
        <v>540806</v>
      </c>
      <c r="B3077" s="111" t="s">
        <v>213</v>
      </c>
      <c r="C3077" s="103">
        <v>216873168</v>
      </c>
      <c r="D3077" s="111" t="s">
        <v>2473</v>
      </c>
      <c r="E3077" s="133"/>
      <c r="F3077" s="35">
        <v>764880</v>
      </c>
    </row>
    <row r="3078" spans="1:6" s="4" customFormat="1" ht="12">
      <c r="A3078" s="106">
        <v>540806</v>
      </c>
      <c r="B3078" s="111" t="s">
        <v>213</v>
      </c>
      <c r="C3078" s="103">
        <v>210073200</v>
      </c>
      <c r="D3078" s="111" t="s">
        <v>2474</v>
      </c>
      <c r="E3078" s="133"/>
      <c r="F3078" s="35">
        <v>192667</v>
      </c>
    </row>
    <row r="3079" spans="1:6" s="4" customFormat="1" ht="12">
      <c r="A3079" s="106">
        <v>540806</v>
      </c>
      <c r="B3079" s="111" t="s">
        <v>213</v>
      </c>
      <c r="C3079" s="103">
        <v>211773217</v>
      </c>
      <c r="D3079" s="111" t="s">
        <v>2475</v>
      </c>
      <c r="E3079" s="133"/>
      <c r="F3079" s="35">
        <v>624748</v>
      </c>
    </row>
    <row r="3080" spans="1:6" s="4" customFormat="1" ht="12">
      <c r="A3080" s="106">
        <v>540806</v>
      </c>
      <c r="B3080" s="111" t="s">
        <v>213</v>
      </c>
      <c r="C3080" s="103">
        <v>212673226</v>
      </c>
      <c r="D3080" s="111" t="s">
        <v>2476</v>
      </c>
      <c r="E3080" s="133"/>
      <c r="F3080" s="35">
        <v>195426</v>
      </c>
    </row>
    <row r="3081" spans="1:6" s="4" customFormat="1" ht="12">
      <c r="A3081" s="106">
        <v>540806</v>
      </c>
      <c r="B3081" s="111" t="s">
        <v>213</v>
      </c>
      <c r="C3081" s="103">
        <v>213673236</v>
      </c>
      <c r="D3081" s="111" t="s">
        <v>2477</v>
      </c>
      <c r="E3081" s="133"/>
      <c r="F3081" s="35">
        <v>133014</v>
      </c>
    </row>
    <row r="3082" spans="1:6" s="4" customFormat="1" ht="12">
      <c r="A3082" s="106">
        <v>540806</v>
      </c>
      <c r="B3082" s="111" t="s">
        <v>213</v>
      </c>
      <c r="C3082" s="103">
        <v>216873268</v>
      </c>
      <c r="D3082" s="111" t="s">
        <v>2478</v>
      </c>
      <c r="E3082" s="133"/>
      <c r="F3082" s="35">
        <v>840643</v>
      </c>
    </row>
    <row r="3083" spans="1:6" s="4" customFormat="1" ht="12">
      <c r="A3083" s="106">
        <v>540806</v>
      </c>
      <c r="B3083" s="111" t="s">
        <v>213</v>
      </c>
      <c r="C3083" s="103">
        <v>217073270</v>
      </c>
      <c r="D3083" s="111" t="s">
        <v>2479</v>
      </c>
      <c r="E3083" s="133"/>
      <c r="F3083" s="35">
        <v>193653</v>
      </c>
    </row>
    <row r="3084" spans="1:6" s="4" customFormat="1" ht="12">
      <c r="A3084" s="106">
        <v>540806</v>
      </c>
      <c r="B3084" s="111" t="s">
        <v>213</v>
      </c>
      <c r="C3084" s="103">
        <v>217573275</v>
      </c>
      <c r="D3084" s="111" t="s">
        <v>2480</v>
      </c>
      <c r="E3084" s="133"/>
      <c r="F3084" s="35">
        <v>322444</v>
      </c>
    </row>
    <row r="3085" spans="1:6" s="4" customFormat="1" ht="12">
      <c r="A3085" s="106">
        <v>540806</v>
      </c>
      <c r="B3085" s="111" t="s">
        <v>213</v>
      </c>
      <c r="C3085" s="103">
        <v>218373283</v>
      </c>
      <c r="D3085" s="111" t="s">
        <v>2481</v>
      </c>
      <c r="E3085" s="133"/>
      <c r="F3085" s="35">
        <v>436768</v>
      </c>
    </row>
    <row r="3086" spans="1:6" s="4" customFormat="1" ht="12">
      <c r="A3086" s="106">
        <v>540806</v>
      </c>
      <c r="B3086" s="111" t="s">
        <v>213</v>
      </c>
      <c r="C3086" s="103">
        <v>211973319</v>
      </c>
      <c r="D3086" s="111" t="s">
        <v>2482</v>
      </c>
      <c r="E3086" s="133"/>
      <c r="F3086" s="35">
        <v>494759</v>
      </c>
    </row>
    <row r="3087" spans="1:6" s="4" customFormat="1" ht="12">
      <c r="A3087" s="106">
        <v>540806</v>
      </c>
      <c r="B3087" s="111" t="s">
        <v>213</v>
      </c>
      <c r="C3087" s="103">
        <v>214773347</v>
      </c>
      <c r="D3087" s="111" t="s">
        <v>2483</v>
      </c>
      <c r="E3087" s="133"/>
      <c r="F3087" s="35">
        <v>146343</v>
      </c>
    </row>
    <row r="3088" spans="1:6" s="4" customFormat="1" ht="12">
      <c r="A3088" s="106">
        <v>540806</v>
      </c>
      <c r="B3088" s="111" t="s">
        <v>213</v>
      </c>
      <c r="C3088" s="103">
        <v>214973349</v>
      </c>
      <c r="D3088" s="111" t="s">
        <v>2484</v>
      </c>
      <c r="E3088" s="133"/>
      <c r="F3088" s="35">
        <v>354395</v>
      </c>
    </row>
    <row r="3089" spans="1:6" s="4" customFormat="1" ht="12">
      <c r="A3089" s="106">
        <v>540806</v>
      </c>
      <c r="B3089" s="111" t="s">
        <v>213</v>
      </c>
      <c r="C3089" s="103">
        <v>215273352</v>
      </c>
      <c r="D3089" s="111" t="s">
        <v>2485</v>
      </c>
      <c r="E3089" s="133"/>
      <c r="F3089" s="35">
        <v>212764</v>
      </c>
    </row>
    <row r="3090" spans="1:6" s="4" customFormat="1" ht="12">
      <c r="A3090" s="106">
        <v>540806</v>
      </c>
      <c r="B3090" s="111" t="s">
        <v>213</v>
      </c>
      <c r="C3090" s="103">
        <v>210873408</v>
      </c>
      <c r="D3090" s="111" t="s">
        <v>2486</v>
      </c>
      <c r="E3090" s="133"/>
      <c r="F3090" s="35">
        <v>260429</v>
      </c>
    </row>
    <row r="3091" spans="1:6" s="4" customFormat="1" ht="12">
      <c r="A3091" s="106">
        <v>540806</v>
      </c>
      <c r="B3091" s="111" t="s">
        <v>213</v>
      </c>
      <c r="C3091" s="103">
        <v>211173411</v>
      </c>
      <c r="D3091" s="111" t="s">
        <v>2487</v>
      </c>
      <c r="E3091" s="133"/>
      <c r="F3091" s="35">
        <v>574215</v>
      </c>
    </row>
    <row r="3092" spans="1:6" s="4" customFormat="1" ht="12">
      <c r="A3092" s="106">
        <v>540806</v>
      </c>
      <c r="B3092" s="111" t="s">
        <v>213</v>
      </c>
      <c r="C3092" s="103">
        <v>214373443</v>
      </c>
      <c r="D3092" s="111" t="s">
        <v>2488</v>
      </c>
      <c r="E3092" s="133"/>
      <c r="F3092" s="35">
        <v>479734</v>
      </c>
    </row>
    <row r="3093" spans="1:6" s="4" customFormat="1" ht="12">
      <c r="A3093" s="106">
        <v>540806</v>
      </c>
      <c r="B3093" s="111" t="s">
        <v>213</v>
      </c>
      <c r="C3093" s="103">
        <v>214973449</v>
      </c>
      <c r="D3093" s="111" t="s">
        <v>2489</v>
      </c>
      <c r="E3093" s="133"/>
      <c r="F3093" s="35">
        <v>490623</v>
      </c>
    </row>
    <row r="3094" spans="1:6" s="4" customFormat="1" ht="12">
      <c r="A3094" s="106">
        <v>540806</v>
      </c>
      <c r="B3094" s="111" t="s">
        <v>213</v>
      </c>
      <c r="C3094" s="103">
        <v>216173461</v>
      </c>
      <c r="D3094" s="111" t="s">
        <v>2490</v>
      </c>
      <c r="E3094" s="133"/>
      <c r="F3094" s="35">
        <v>110731</v>
      </c>
    </row>
    <row r="3095" spans="1:6" s="4" customFormat="1" ht="12">
      <c r="A3095" s="106">
        <v>540806</v>
      </c>
      <c r="B3095" s="111" t="s">
        <v>213</v>
      </c>
      <c r="C3095" s="103">
        <v>218373483</v>
      </c>
      <c r="D3095" s="111" t="s">
        <v>2491</v>
      </c>
      <c r="E3095" s="133"/>
      <c r="F3095" s="35">
        <v>280531</v>
      </c>
    </row>
    <row r="3096" spans="1:6" s="4" customFormat="1" ht="12">
      <c r="A3096" s="106">
        <v>540806</v>
      </c>
      <c r="B3096" s="111" t="s">
        <v>213</v>
      </c>
      <c r="C3096" s="103">
        <v>210473504</v>
      </c>
      <c r="D3096" s="111" t="s">
        <v>2492</v>
      </c>
      <c r="E3096" s="133"/>
      <c r="F3096" s="35">
        <v>648671</v>
      </c>
    </row>
    <row r="3097" spans="1:6" s="4" customFormat="1" ht="12">
      <c r="A3097" s="106">
        <v>540806</v>
      </c>
      <c r="B3097" s="111" t="s">
        <v>213</v>
      </c>
      <c r="C3097" s="103">
        <v>212073520</v>
      </c>
      <c r="D3097" s="111" t="s">
        <v>2493</v>
      </c>
      <c r="E3097" s="133"/>
      <c r="F3097" s="35">
        <v>176478</v>
      </c>
    </row>
    <row r="3098" spans="1:6" s="4" customFormat="1" ht="12">
      <c r="A3098" s="106">
        <v>540806</v>
      </c>
      <c r="B3098" s="111" t="s">
        <v>213</v>
      </c>
      <c r="C3098" s="103">
        <v>214773547</v>
      </c>
      <c r="D3098" s="111" t="s">
        <v>2494</v>
      </c>
      <c r="E3098" s="133"/>
      <c r="F3098" s="35">
        <v>80533</v>
      </c>
    </row>
    <row r="3099" spans="1:6" s="4" customFormat="1" ht="12">
      <c r="A3099" s="106">
        <v>540806</v>
      </c>
      <c r="B3099" s="111" t="s">
        <v>213</v>
      </c>
      <c r="C3099" s="103">
        <v>215573555</v>
      </c>
      <c r="D3099" s="111" t="s">
        <v>2495</v>
      </c>
      <c r="E3099" s="133"/>
      <c r="F3099" s="35">
        <v>512655</v>
      </c>
    </row>
    <row r="3100" spans="1:6" s="4" customFormat="1" ht="12">
      <c r="A3100" s="106">
        <v>540806</v>
      </c>
      <c r="B3100" s="111" t="s">
        <v>213</v>
      </c>
      <c r="C3100" s="103">
        <v>216373563</v>
      </c>
      <c r="D3100" s="111" t="s">
        <v>2496</v>
      </c>
      <c r="E3100" s="133"/>
      <c r="F3100" s="35">
        <v>176817</v>
      </c>
    </row>
    <row r="3101" spans="1:6" s="4" customFormat="1" ht="12">
      <c r="A3101" s="106">
        <v>540806</v>
      </c>
      <c r="B3101" s="111" t="s">
        <v>213</v>
      </c>
      <c r="C3101" s="103">
        <v>218573585</v>
      </c>
      <c r="D3101" s="111" t="s">
        <v>2497</v>
      </c>
      <c r="E3101" s="133"/>
      <c r="F3101" s="35">
        <v>323413</v>
      </c>
    </row>
    <row r="3102" spans="1:6" s="4" customFormat="1" ht="12">
      <c r="A3102" s="106">
        <v>540806</v>
      </c>
      <c r="B3102" s="111" t="s">
        <v>213</v>
      </c>
      <c r="C3102" s="103">
        <v>211673616</v>
      </c>
      <c r="D3102" s="111" t="s">
        <v>2498</v>
      </c>
      <c r="E3102" s="133"/>
      <c r="F3102" s="35">
        <v>468263</v>
      </c>
    </row>
    <row r="3103" spans="1:6" s="4" customFormat="1" ht="12">
      <c r="A3103" s="106">
        <v>540806</v>
      </c>
      <c r="B3103" s="111" t="s">
        <v>213</v>
      </c>
      <c r="C3103" s="103">
        <v>212273622</v>
      </c>
      <c r="D3103" s="111" t="s">
        <v>2499</v>
      </c>
      <c r="E3103" s="133"/>
      <c r="F3103" s="35">
        <v>124505</v>
      </c>
    </row>
    <row r="3104" spans="1:6" s="4" customFormat="1" ht="12">
      <c r="A3104" s="106">
        <v>540806</v>
      </c>
      <c r="B3104" s="111" t="s">
        <v>213</v>
      </c>
      <c r="C3104" s="103">
        <v>212473624</v>
      </c>
      <c r="D3104" s="111" t="s">
        <v>2500</v>
      </c>
      <c r="E3104" s="133"/>
      <c r="F3104" s="35">
        <v>359761</v>
      </c>
    </row>
    <row r="3105" spans="1:6" s="4" customFormat="1" ht="12">
      <c r="A3105" s="106">
        <v>540806</v>
      </c>
      <c r="B3105" s="111" t="s">
        <v>213</v>
      </c>
      <c r="C3105" s="103">
        <v>217173671</v>
      </c>
      <c r="D3105" s="111" t="s">
        <v>2501</v>
      </c>
      <c r="E3105" s="133"/>
      <c r="F3105" s="35">
        <v>207547</v>
      </c>
    </row>
    <row r="3106" spans="1:6" s="4" customFormat="1" ht="12">
      <c r="A3106" s="106">
        <v>540806</v>
      </c>
      <c r="B3106" s="111" t="s">
        <v>213</v>
      </c>
      <c r="C3106" s="103">
        <v>217573675</v>
      </c>
      <c r="D3106" s="111" t="s">
        <v>2502</v>
      </c>
      <c r="E3106" s="133"/>
      <c r="F3106" s="35">
        <v>253858</v>
      </c>
    </row>
    <row r="3107" spans="1:6" s="4" customFormat="1" ht="12">
      <c r="A3107" s="106">
        <v>540806</v>
      </c>
      <c r="B3107" s="111" t="s">
        <v>213</v>
      </c>
      <c r="C3107" s="103">
        <v>217873678</v>
      </c>
      <c r="D3107" s="111" t="s">
        <v>1291</v>
      </c>
      <c r="E3107" s="133"/>
      <c r="F3107" s="35">
        <v>219488</v>
      </c>
    </row>
    <row r="3108" spans="1:6" s="4" customFormat="1" ht="12">
      <c r="A3108" s="106">
        <v>540806</v>
      </c>
      <c r="B3108" s="111" t="s">
        <v>213</v>
      </c>
      <c r="C3108" s="103">
        <v>218673686</v>
      </c>
      <c r="D3108" s="111" t="s">
        <v>2503</v>
      </c>
      <c r="E3108" s="133"/>
      <c r="F3108" s="35">
        <v>122044</v>
      </c>
    </row>
    <row r="3109" spans="1:6" s="4" customFormat="1" ht="12">
      <c r="A3109" s="106">
        <v>540806</v>
      </c>
      <c r="B3109" s="111" t="s">
        <v>213</v>
      </c>
      <c r="C3109" s="103">
        <v>217073770</v>
      </c>
      <c r="D3109" s="111" t="s">
        <v>1888</v>
      </c>
      <c r="E3109" s="133"/>
      <c r="F3109" s="35">
        <v>76322</v>
      </c>
    </row>
    <row r="3110" spans="1:6" s="4" customFormat="1" ht="12">
      <c r="A3110" s="106">
        <v>540806</v>
      </c>
      <c r="B3110" s="111" t="s">
        <v>213</v>
      </c>
      <c r="C3110" s="103">
        <v>215473854</v>
      </c>
      <c r="D3110" s="111" t="s">
        <v>2504</v>
      </c>
      <c r="E3110" s="133"/>
      <c r="F3110" s="35">
        <v>86835</v>
      </c>
    </row>
    <row r="3111" spans="1:6" s="4" customFormat="1" ht="12">
      <c r="A3111" s="106">
        <v>540806</v>
      </c>
      <c r="B3111" s="111" t="s">
        <v>213</v>
      </c>
      <c r="C3111" s="103">
        <v>216173861</v>
      </c>
      <c r="D3111" s="111" t="s">
        <v>0</v>
      </c>
      <c r="E3111" s="133"/>
      <c r="F3111" s="35">
        <v>195762</v>
      </c>
    </row>
    <row r="3112" spans="1:6" s="4" customFormat="1" ht="12">
      <c r="A3112" s="106">
        <v>540806</v>
      </c>
      <c r="B3112" s="111" t="s">
        <v>213</v>
      </c>
      <c r="C3112" s="103">
        <v>217073870</v>
      </c>
      <c r="D3112" s="111" t="s">
        <v>1</v>
      </c>
      <c r="E3112" s="133"/>
      <c r="F3112" s="35">
        <v>166112</v>
      </c>
    </row>
    <row r="3113" spans="1:6" s="4" customFormat="1" ht="12">
      <c r="A3113" s="106">
        <v>540806</v>
      </c>
      <c r="B3113" s="111" t="s">
        <v>213</v>
      </c>
      <c r="C3113" s="103">
        <v>217373873</v>
      </c>
      <c r="D3113" s="111" t="s">
        <v>2</v>
      </c>
      <c r="E3113" s="133"/>
      <c r="F3113" s="35">
        <v>94866</v>
      </c>
    </row>
    <row r="3114" spans="1:6" s="4" customFormat="1" ht="12">
      <c r="A3114" s="106">
        <v>540806</v>
      </c>
      <c r="B3114" s="111" t="s">
        <v>213</v>
      </c>
      <c r="C3114" s="103">
        <v>212076020</v>
      </c>
      <c r="D3114" s="111" t="s">
        <v>3</v>
      </c>
      <c r="E3114" s="133"/>
      <c r="F3114" s="35">
        <v>209023</v>
      </c>
    </row>
    <row r="3115" spans="1:6" s="4" customFormat="1" ht="12">
      <c r="A3115" s="106">
        <v>540806</v>
      </c>
      <c r="B3115" s="111" t="s">
        <v>213</v>
      </c>
      <c r="C3115" s="103">
        <v>213676036</v>
      </c>
      <c r="D3115" s="111" t="s">
        <v>4</v>
      </c>
      <c r="E3115" s="133"/>
      <c r="F3115" s="35">
        <v>271135</v>
      </c>
    </row>
    <row r="3116" spans="1:6" s="4" customFormat="1" ht="12">
      <c r="A3116" s="106">
        <v>540806</v>
      </c>
      <c r="B3116" s="111" t="s">
        <v>213</v>
      </c>
      <c r="C3116" s="103">
        <v>214176041</v>
      </c>
      <c r="D3116" s="111" t="s">
        <v>5</v>
      </c>
      <c r="E3116" s="133"/>
      <c r="F3116" s="35">
        <v>252266</v>
      </c>
    </row>
    <row r="3117" spans="1:6" s="4" customFormat="1" ht="12">
      <c r="A3117" s="106">
        <v>540806</v>
      </c>
      <c r="B3117" s="111" t="s">
        <v>213</v>
      </c>
      <c r="C3117" s="103">
        <v>215476054</v>
      </c>
      <c r="D3117" s="111" t="s">
        <v>1187</v>
      </c>
      <c r="E3117" s="133"/>
      <c r="F3117" s="35">
        <v>103077</v>
      </c>
    </row>
    <row r="3118" spans="1:6" s="4" customFormat="1" ht="12">
      <c r="A3118" s="106">
        <v>540806</v>
      </c>
      <c r="B3118" s="111" t="s">
        <v>213</v>
      </c>
      <c r="C3118" s="103">
        <v>210076100</v>
      </c>
      <c r="D3118" s="111" t="s">
        <v>1089</v>
      </c>
      <c r="E3118" s="133"/>
      <c r="F3118" s="35">
        <v>223265</v>
      </c>
    </row>
    <row r="3119" spans="1:6" s="4" customFormat="1" ht="12">
      <c r="A3119" s="106">
        <v>540806</v>
      </c>
      <c r="B3119" s="111" t="s">
        <v>213</v>
      </c>
      <c r="C3119" s="103">
        <v>211376113</v>
      </c>
      <c r="D3119" s="111" t="s">
        <v>6</v>
      </c>
      <c r="E3119" s="133"/>
      <c r="F3119" s="35">
        <v>187702</v>
      </c>
    </row>
    <row r="3120" spans="1:6" s="4" customFormat="1" ht="12">
      <c r="A3120" s="106">
        <v>540806</v>
      </c>
      <c r="B3120" s="111" t="s">
        <v>213</v>
      </c>
      <c r="C3120" s="103">
        <v>212276122</v>
      </c>
      <c r="D3120" s="111" t="s">
        <v>7</v>
      </c>
      <c r="E3120" s="133"/>
      <c r="F3120" s="35">
        <v>426834</v>
      </c>
    </row>
    <row r="3121" spans="1:6" s="4" customFormat="1" ht="12">
      <c r="A3121" s="106">
        <v>540806</v>
      </c>
      <c r="B3121" s="111" t="s">
        <v>213</v>
      </c>
      <c r="C3121" s="103">
        <v>212676126</v>
      </c>
      <c r="D3121" s="111" t="s">
        <v>8</v>
      </c>
      <c r="E3121" s="133"/>
      <c r="F3121" s="35">
        <v>252551</v>
      </c>
    </row>
    <row r="3122" spans="1:6" s="4" customFormat="1" ht="12">
      <c r="A3122" s="106">
        <v>540806</v>
      </c>
      <c r="B3122" s="111" t="s">
        <v>213</v>
      </c>
      <c r="C3122" s="103">
        <v>213076130</v>
      </c>
      <c r="D3122" s="111" t="s">
        <v>1333</v>
      </c>
      <c r="E3122" s="133"/>
      <c r="F3122" s="35">
        <v>777286</v>
      </c>
    </row>
    <row r="3123" spans="1:6" s="4" customFormat="1" ht="12">
      <c r="A3123" s="106">
        <v>540806</v>
      </c>
      <c r="B3123" s="111" t="s">
        <v>213</v>
      </c>
      <c r="C3123" s="103">
        <v>213376233</v>
      </c>
      <c r="D3123" s="111" t="s">
        <v>9</v>
      </c>
      <c r="E3123" s="133"/>
      <c r="F3123" s="35">
        <v>494914</v>
      </c>
    </row>
    <row r="3124" spans="1:6" s="4" customFormat="1" ht="12">
      <c r="A3124" s="106">
        <v>540806</v>
      </c>
      <c r="B3124" s="111" t="s">
        <v>213</v>
      </c>
      <c r="C3124" s="103">
        <v>214376243</v>
      </c>
      <c r="D3124" s="111" t="s">
        <v>10</v>
      </c>
      <c r="E3124" s="133"/>
      <c r="F3124" s="35">
        <v>167042</v>
      </c>
    </row>
    <row r="3125" spans="1:6" s="4" customFormat="1" ht="12">
      <c r="A3125" s="106">
        <v>540806</v>
      </c>
      <c r="B3125" s="111" t="s">
        <v>213</v>
      </c>
      <c r="C3125" s="103">
        <v>214676246</v>
      </c>
      <c r="D3125" s="111" t="s">
        <v>11</v>
      </c>
      <c r="E3125" s="133"/>
      <c r="F3125" s="35">
        <v>118204</v>
      </c>
    </row>
    <row r="3126" spans="1:6" s="4" customFormat="1" ht="12">
      <c r="A3126" s="106">
        <v>540806</v>
      </c>
      <c r="B3126" s="111" t="s">
        <v>213</v>
      </c>
      <c r="C3126" s="103">
        <v>214876248</v>
      </c>
      <c r="D3126" s="111" t="s">
        <v>12</v>
      </c>
      <c r="E3126" s="133"/>
      <c r="F3126" s="35">
        <v>566970</v>
      </c>
    </row>
    <row r="3127" spans="1:6" s="4" customFormat="1" ht="12">
      <c r="A3127" s="106">
        <v>540806</v>
      </c>
      <c r="B3127" s="111" t="s">
        <v>213</v>
      </c>
      <c r="C3127" s="103">
        <v>215076250</v>
      </c>
      <c r="D3127" s="111" t="s">
        <v>13</v>
      </c>
      <c r="E3127" s="133"/>
      <c r="F3127" s="35">
        <v>252866</v>
      </c>
    </row>
    <row r="3128" spans="1:6" s="4" customFormat="1" ht="12">
      <c r="A3128" s="106">
        <v>540806</v>
      </c>
      <c r="B3128" s="111" t="s">
        <v>213</v>
      </c>
      <c r="C3128" s="103">
        <v>217576275</v>
      </c>
      <c r="D3128" s="111" t="s">
        <v>14</v>
      </c>
      <c r="E3128" s="133"/>
      <c r="F3128" s="35">
        <v>699490</v>
      </c>
    </row>
    <row r="3129" spans="1:6" s="4" customFormat="1" ht="12">
      <c r="A3129" s="106">
        <v>540806</v>
      </c>
      <c r="B3129" s="111" t="s">
        <v>213</v>
      </c>
      <c r="C3129" s="103">
        <v>210676306</v>
      </c>
      <c r="D3129" s="111" t="s">
        <v>15</v>
      </c>
      <c r="E3129" s="133"/>
      <c r="F3129" s="35">
        <v>280658</v>
      </c>
    </row>
    <row r="3130" spans="1:6" s="4" customFormat="1" ht="12">
      <c r="A3130" s="106">
        <v>540806</v>
      </c>
      <c r="B3130" s="111" t="s">
        <v>213</v>
      </c>
      <c r="C3130" s="103">
        <v>211876318</v>
      </c>
      <c r="D3130" s="111" t="s">
        <v>16</v>
      </c>
      <c r="E3130" s="133"/>
      <c r="F3130" s="35">
        <v>397816</v>
      </c>
    </row>
    <row r="3131" spans="1:6" s="4" customFormat="1" ht="12">
      <c r="A3131" s="106">
        <v>540806</v>
      </c>
      <c r="B3131" s="111" t="s">
        <v>213</v>
      </c>
      <c r="C3131" s="103">
        <v>216476364</v>
      </c>
      <c r="D3131" s="111" t="s">
        <v>17</v>
      </c>
      <c r="E3131" s="133"/>
      <c r="F3131" s="35">
        <v>886457</v>
      </c>
    </row>
    <row r="3132" spans="1:6" s="4" customFormat="1" ht="12">
      <c r="A3132" s="106">
        <v>540806</v>
      </c>
      <c r="B3132" s="111" t="s">
        <v>213</v>
      </c>
      <c r="C3132" s="103">
        <v>217776377</v>
      </c>
      <c r="D3132" s="111" t="s">
        <v>18</v>
      </c>
      <c r="E3132" s="133"/>
      <c r="F3132" s="35">
        <v>227284</v>
      </c>
    </row>
    <row r="3133" spans="1:6" s="4" customFormat="1" ht="12">
      <c r="A3133" s="106">
        <v>540806</v>
      </c>
      <c r="B3133" s="111" t="s">
        <v>213</v>
      </c>
      <c r="C3133" s="103">
        <v>210076400</v>
      </c>
      <c r="D3133" s="111" t="s">
        <v>1250</v>
      </c>
      <c r="E3133" s="133"/>
      <c r="F3133" s="35">
        <v>414953</v>
      </c>
    </row>
    <row r="3134" spans="1:6" s="4" customFormat="1" ht="12">
      <c r="A3134" s="106">
        <v>540806</v>
      </c>
      <c r="B3134" s="111" t="s">
        <v>213</v>
      </c>
      <c r="C3134" s="103">
        <v>210376403</v>
      </c>
      <c r="D3134" s="111" t="s">
        <v>1474</v>
      </c>
      <c r="E3134" s="133"/>
      <c r="F3134" s="35">
        <v>232401</v>
      </c>
    </row>
    <row r="3135" spans="1:6" s="4" customFormat="1" ht="12">
      <c r="A3135" s="106">
        <v>540806</v>
      </c>
      <c r="B3135" s="111" t="s">
        <v>213</v>
      </c>
      <c r="C3135" s="103">
        <v>219776497</v>
      </c>
      <c r="D3135" s="111" t="s">
        <v>19</v>
      </c>
      <c r="E3135" s="133"/>
      <c r="F3135" s="35">
        <v>202761</v>
      </c>
    </row>
    <row r="3136" spans="1:6" s="4" customFormat="1" ht="12">
      <c r="A3136" s="106">
        <v>540806</v>
      </c>
      <c r="B3136" s="111" t="s">
        <v>213</v>
      </c>
      <c r="C3136" s="103">
        <v>216376563</v>
      </c>
      <c r="D3136" s="111" t="s">
        <v>20</v>
      </c>
      <c r="E3136" s="133"/>
      <c r="F3136" s="35">
        <v>672169</v>
      </c>
    </row>
    <row r="3137" spans="1:6" s="4" customFormat="1" ht="12">
      <c r="A3137" s="106">
        <v>540806</v>
      </c>
      <c r="B3137" s="111" t="s">
        <v>213</v>
      </c>
      <c r="C3137" s="103">
        <v>210676606</v>
      </c>
      <c r="D3137" s="111" t="s">
        <v>2253</v>
      </c>
      <c r="E3137" s="133"/>
      <c r="F3137" s="35">
        <v>283704</v>
      </c>
    </row>
    <row r="3138" spans="1:6" s="4" customFormat="1" ht="12">
      <c r="A3138" s="106">
        <v>540806</v>
      </c>
      <c r="B3138" s="111" t="s">
        <v>213</v>
      </c>
      <c r="C3138" s="103">
        <v>211676616</v>
      </c>
      <c r="D3138" s="111" t="s">
        <v>21</v>
      </c>
      <c r="E3138" s="133"/>
      <c r="F3138" s="35">
        <v>261771</v>
      </c>
    </row>
    <row r="3139" spans="1:6" s="4" customFormat="1" ht="12">
      <c r="A3139" s="106">
        <v>540806</v>
      </c>
      <c r="B3139" s="111" t="s">
        <v>213</v>
      </c>
      <c r="C3139" s="103">
        <v>212276622</v>
      </c>
      <c r="D3139" s="111" t="s">
        <v>22</v>
      </c>
      <c r="E3139" s="133"/>
      <c r="F3139" s="35">
        <v>491816</v>
      </c>
    </row>
    <row r="3140" spans="1:6" s="4" customFormat="1" ht="12">
      <c r="A3140" s="106">
        <v>540806</v>
      </c>
      <c r="B3140" s="111" t="s">
        <v>213</v>
      </c>
      <c r="C3140" s="103">
        <v>217076670</v>
      </c>
      <c r="D3140" s="111" t="s">
        <v>1292</v>
      </c>
      <c r="E3140" s="133"/>
      <c r="F3140" s="35">
        <v>255766</v>
      </c>
    </row>
    <row r="3141" spans="1:6" s="4" customFormat="1" ht="12">
      <c r="A3141" s="106">
        <v>540806</v>
      </c>
      <c r="B3141" s="111" t="s">
        <v>213</v>
      </c>
      <c r="C3141" s="103">
        <v>213676736</v>
      </c>
      <c r="D3141" s="111" t="s">
        <v>23</v>
      </c>
      <c r="E3141" s="133"/>
      <c r="F3141" s="35">
        <v>614764</v>
      </c>
    </row>
    <row r="3142" spans="1:6" s="4" customFormat="1" ht="12">
      <c r="A3142" s="106">
        <v>540806</v>
      </c>
      <c r="B3142" s="111" t="s">
        <v>213</v>
      </c>
      <c r="C3142" s="103">
        <v>212376823</v>
      </c>
      <c r="D3142" s="111" t="s">
        <v>24</v>
      </c>
      <c r="E3142" s="133"/>
      <c r="F3142" s="35">
        <v>287951</v>
      </c>
    </row>
    <row r="3143" spans="1:6" s="4" customFormat="1" ht="12">
      <c r="A3143" s="106">
        <v>540806</v>
      </c>
      <c r="B3143" s="111" t="s">
        <v>213</v>
      </c>
      <c r="C3143" s="103">
        <v>212876828</v>
      </c>
      <c r="D3143" s="111" t="s">
        <v>25</v>
      </c>
      <c r="E3143" s="133"/>
      <c r="F3143" s="35">
        <v>265415</v>
      </c>
    </row>
    <row r="3144" spans="1:6" s="4" customFormat="1" ht="12">
      <c r="A3144" s="106">
        <v>540806</v>
      </c>
      <c r="B3144" s="111" t="s">
        <v>213</v>
      </c>
      <c r="C3144" s="103">
        <v>214576845</v>
      </c>
      <c r="D3144" s="111" t="s">
        <v>26</v>
      </c>
      <c r="E3144" s="133"/>
      <c r="F3144" s="35">
        <v>88607</v>
      </c>
    </row>
    <row r="3145" spans="1:6" s="4" customFormat="1" ht="12">
      <c r="A3145" s="106">
        <v>540806</v>
      </c>
      <c r="B3145" s="111" t="s">
        <v>213</v>
      </c>
      <c r="C3145" s="103">
        <v>216376863</v>
      </c>
      <c r="D3145" s="111" t="s">
        <v>27</v>
      </c>
      <c r="E3145" s="133"/>
      <c r="F3145" s="35">
        <v>112220</v>
      </c>
    </row>
    <row r="3146" spans="1:6" s="4" customFormat="1" ht="12">
      <c r="A3146" s="106">
        <v>540806</v>
      </c>
      <c r="B3146" s="111" t="s">
        <v>213</v>
      </c>
      <c r="C3146" s="103">
        <v>216976869</v>
      </c>
      <c r="D3146" s="111" t="s">
        <v>28</v>
      </c>
      <c r="E3146" s="133"/>
      <c r="F3146" s="35">
        <v>94426</v>
      </c>
    </row>
    <row r="3147" spans="1:6" s="4" customFormat="1" ht="12">
      <c r="A3147" s="106">
        <v>540806</v>
      </c>
      <c r="B3147" s="111" t="s">
        <v>213</v>
      </c>
      <c r="C3147" s="103">
        <v>219076890</v>
      </c>
      <c r="D3147" s="111" t="s">
        <v>29</v>
      </c>
      <c r="E3147" s="133"/>
      <c r="F3147" s="35">
        <v>258370</v>
      </c>
    </row>
    <row r="3148" spans="1:6" s="4" customFormat="1" ht="12">
      <c r="A3148" s="106">
        <v>540806</v>
      </c>
      <c r="B3148" s="111" t="s">
        <v>213</v>
      </c>
      <c r="C3148" s="103">
        <v>219276892</v>
      </c>
      <c r="D3148" s="111" t="s">
        <v>30</v>
      </c>
      <c r="E3148" s="133"/>
      <c r="F3148" s="35">
        <v>1231568</v>
      </c>
    </row>
    <row r="3149" spans="1:6" s="4" customFormat="1" ht="12">
      <c r="A3149" s="106">
        <v>540806</v>
      </c>
      <c r="B3149" s="111" t="s">
        <v>213</v>
      </c>
      <c r="C3149" s="103">
        <v>219576895</v>
      </c>
      <c r="D3149" s="111" t="s">
        <v>31</v>
      </c>
      <c r="E3149" s="133"/>
      <c r="F3149" s="35">
        <v>614541</v>
      </c>
    </row>
    <row r="3150" spans="1:6" s="4" customFormat="1" ht="12">
      <c r="A3150" s="106">
        <v>540806</v>
      </c>
      <c r="B3150" s="111" t="s">
        <v>213</v>
      </c>
      <c r="C3150" s="103">
        <v>210181001</v>
      </c>
      <c r="D3150" s="111" t="s">
        <v>1110</v>
      </c>
      <c r="E3150" s="133"/>
      <c r="F3150" s="35">
        <v>961802</v>
      </c>
    </row>
    <row r="3151" spans="1:6" s="4" customFormat="1" ht="12">
      <c r="A3151" s="106">
        <v>540806</v>
      </c>
      <c r="B3151" s="111" t="s">
        <v>213</v>
      </c>
      <c r="C3151" s="103">
        <v>216581065</v>
      </c>
      <c r="D3151" s="111" t="s">
        <v>32</v>
      </c>
      <c r="E3151" s="133"/>
      <c r="F3151" s="35">
        <v>726990</v>
      </c>
    </row>
    <row r="3152" spans="1:6" s="4" customFormat="1" ht="12">
      <c r="A3152" s="106">
        <v>540806</v>
      </c>
      <c r="B3152" s="111" t="s">
        <v>213</v>
      </c>
      <c r="C3152" s="103">
        <v>212081220</v>
      </c>
      <c r="D3152" s="111" t="s">
        <v>33</v>
      </c>
      <c r="E3152" s="133"/>
      <c r="F3152" s="35">
        <v>110801</v>
      </c>
    </row>
    <row r="3153" spans="1:6" s="4" customFormat="1" ht="12">
      <c r="A3153" s="106">
        <v>540806</v>
      </c>
      <c r="B3153" s="111" t="s">
        <v>213</v>
      </c>
      <c r="C3153" s="103">
        <v>210081300</v>
      </c>
      <c r="D3153" s="111" t="s">
        <v>34</v>
      </c>
      <c r="E3153" s="133"/>
      <c r="F3153" s="35">
        <v>378715</v>
      </c>
    </row>
    <row r="3154" spans="1:6" s="4" customFormat="1" ht="12">
      <c r="A3154" s="106">
        <v>540806</v>
      </c>
      <c r="B3154" s="111" t="s">
        <v>213</v>
      </c>
      <c r="C3154" s="103">
        <v>219181591</v>
      </c>
      <c r="D3154" s="111" t="s">
        <v>35</v>
      </c>
      <c r="E3154" s="133"/>
      <c r="F3154" s="35">
        <v>96034</v>
      </c>
    </row>
    <row r="3155" spans="1:6" s="4" customFormat="1" ht="12">
      <c r="A3155" s="106">
        <v>540806</v>
      </c>
      <c r="B3155" s="111" t="s">
        <v>213</v>
      </c>
      <c r="C3155" s="103">
        <v>213681736</v>
      </c>
      <c r="D3155" s="111" t="s">
        <v>36</v>
      </c>
      <c r="E3155" s="133"/>
      <c r="F3155" s="35">
        <v>734509</v>
      </c>
    </row>
    <row r="3156" spans="1:6" s="4" customFormat="1" ht="12">
      <c r="A3156" s="106">
        <v>540806</v>
      </c>
      <c r="B3156" s="111" t="s">
        <v>213</v>
      </c>
      <c r="C3156" s="103">
        <v>219481794</v>
      </c>
      <c r="D3156" s="111" t="s">
        <v>37</v>
      </c>
      <c r="E3156" s="133"/>
      <c r="F3156" s="35">
        <v>851517</v>
      </c>
    </row>
    <row r="3157" spans="1:6" s="4" customFormat="1" ht="12">
      <c r="A3157" s="106">
        <v>540806</v>
      </c>
      <c r="B3157" s="111" t="s">
        <v>213</v>
      </c>
      <c r="C3157" s="103">
        <v>210185001</v>
      </c>
      <c r="D3157" s="111" t="s">
        <v>38</v>
      </c>
      <c r="E3157" s="133"/>
      <c r="F3157" s="35">
        <v>1570007</v>
      </c>
    </row>
    <row r="3158" spans="1:6" s="4" customFormat="1" ht="12">
      <c r="A3158" s="106">
        <v>540806</v>
      </c>
      <c r="B3158" s="111" t="s">
        <v>213</v>
      </c>
      <c r="C3158" s="103">
        <v>211085010</v>
      </c>
      <c r="D3158" s="111" t="s">
        <v>39</v>
      </c>
      <c r="E3158" s="133"/>
      <c r="F3158" s="35">
        <v>608444</v>
      </c>
    </row>
    <row r="3159" spans="1:6" s="4" customFormat="1" ht="12">
      <c r="A3159" s="106">
        <v>540806</v>
      </c>
      <c r="B3159" s="111" t="s">
        <v>213</v>
      </c>
      <c r="C3159" s="103">
        <v>211585015</v>
      </c>
      <c r="D3159" s="111" t="s">
        <v>40</v>
      </c>
      <c r="E3159" s="133"/>
      <c r="F3159" s="35">
        <v>66144</v>
      </c>
    </row>
    <row r="3160" spans="1:6" s="4" customFormat="1" ht="12">
      <c r="A3160" s="106">
        <v>540806</v>
      </c>
      <c r="B3160" s="111" t="s">
        <v>213</v>
      </c>
      <c r="C3160" s="103">
        <v>212585125</v>
      </c>
      <c r="D3160" s="111" t="s">
        <v>41</v>
      </c>
      <c r="E3160" s="133"/>
      <c r="F3160" s="35">
        <v>201363</v>
      </c>
    </row>
    <row r="3161" spans="1:6" s="4" customFormat="1" ht="12">
      <c r="A3161" s="106">
        <v>540806</v>
      </c>
      <c r="B3161" s="111" t="s">
        <v>213</v>
      </c>
      <c r="C3161" s="103">
        <v>213685136</v>
      </c>
      <c r="D3161" s="111" t="s">
        <v>42</v>
      </c>
      <c r="E3161" s="133"/>
      <c r="F3161" s="35">
        <v>43680</v>
      </c>
    </row>
    <row r="3162" spans="1:6" s="4" customFormat="1" ht="12">
      <c r="A3162" s="106">
        <v>540806</v>
      </c>
      <c r="B3162" s="111" t="s">
        <v>213</v>
      </c>
      <c r="C3162" s="103">
        <v>213985139</v>
      </c>
      <c r="D3162" s="111" t="s">
        <v>43</v>
      </c>
      <c r="E3162" s="133"/>
      <c r="F3162" s="35">
        <v>172944</v>
      </c>
    </row>
    <row r="3163" spans="1:6" s="4" customFormat="1" ht="12">
      <c r="A3163" s="106">
        <v>540806</v>
      </c>
      <c r="B3163" s="111" t="s">
        <v>213</v>
      </c>
      <c r="C3163" s="103">
        <v>216285162</v>
      </c>
      <c r="D3163" s="111" t="s">
        <v>44</v>
      </c>
      <c r="E3163" s="133"/>
      <c r="F3163" s="35">
        <v>220592</v>
      </c>
    </row>
    <row r="3164" spans="1:6" s="4" customFormat="1" ht="12">
      <c r="A3164" s="106">
        <v>540806</v>
      </c>
      <c r="B3164" s="111" t="s">
        <v>213</v>
      </c>
      <c r="C3164" s="103">
        <v>212585225</v>
      </c>
      <c r="D3164" s="111" t="s">
        <v>45</v>
      </c>
      <c r="E3164" s="133"/>
      <c r="F3164" s="35">
        <v>192229</v>
      </c>
    </row>
    <row r="3165" spans="1:6" s="4" customFormat="1" ht="12">
      <c r="A3165" s="106">
        <v>540806</v>
      </c>
      <c r="B3165" s="111" t="s">
        <v>213</v>
      </c>
      <c r="C3165" s="103">
        <v>213085230</v>
      </c>
      <c r="D3165" s="111" t="s">
        <v>46</v>
      </c>
      <c r="E3165" s="133"/>
      <c r="F3165" s="35">
        <v>168867</v>
      </c>
    </row>
    <row r="3166" spans="1:6" s="4" customFormat="1" ht="12">
      <c r="A3166" s="106">
        <v>540806</v>
      </c>
      <c r="B3166" s="111" t="s">
        <v>213</v>
      </c>
      <c r="C3166" s="103">
        <v>215085250</v>
      </c>
      <c r="D3166" s="111" t="s">
        <v>47</v>
      </c>
      <c r="E3166" s="133"/>
      <c r="F3166" s="35">
        <v>459316</v>
      </c>
    </row>
    <row r="3167" spans="1:6" s="4" customFormat="1" ht="12">
      <c r="A3167" s="106">
        <v>540806</v>
      </c>
      <c r="B3167" s="111" t="s">
        <v>213</v>
      </c>
      <c r="C3167" s="103">
        <v>216385263</v>
      </c>
      <c r="D3167" s="111" t="s">
        <v>48</v>
      </c>
      <c r="E3167" s="133"/>
      <c r="F3167" s="35">
        <v>158247</v>
      </c>
    </row>
    <row r="3168" spans="1:6" s="4" customFormat="1" ht="12">
      <c r="A3168" s="106">
        <v>540806</v>
      </c>
      <c r="B3168" s="111" t="s">
        <v>213</v>
      </c>
      <c r="C3168" s="103">
        <v>217985279</v>
      </c>
      <c r="D3168" s="111" t="s">
        <v>49</v>
      </c>
      <c r="E3168" s="133"/>
      <c r="F3168" s="35">
        <v>33423</v>
      </c>
    </row>
    <row r="3169" spans="1:6" s="4" customFormat="1" ht="12">
      <c r="A3169" s="106">
        <v>540806</v>
      </c>
      <c r="B3169" s="111" t="s">
        <v>213</v>
      </c>
      <c r="C3169" s="103">
        <v>210085300</v>
      </c>
      <c r="D3169" s="111" t="s">
        <v>1279</v>
      </c>
      <c r="E3169" s="133"/>
      <c r="F3169" s="35">
        <v>61414</v>
      </c>
    </row>
    <row r="3170" spans="1:6" s="4" customFormat="1" ht="12">
      <c r="A3170" s="106">
        <v>540806</v>
      </c>
      <c r="B3170" s="111" t="s">
        <v>213</v>
      </c>
      <c r="C3170" s="103">
        <v>211585315</v>
      </c>
      <c r="D3170" s="111" t="s">
        <v>50</v>
      </c>
      <c r="E3170" s="133"/>
      <c r="F3170" s="35">
        <v>34811</v>
      </c>
    </row>
    <row r="3171" spans="1:6" s="4" customFormat="1" ht="12">
      <c r="A3171" s="106">
        <v>540806</v>
      </c>
      <c r="B3171" s="111" t="s">
        <v>213</v>
      </c>
      <c r="C3171" s="103">
        <v>212585325</v>
      </c>
      <c r="D3171" s="111" t="s">
        <v>51</v>
      </c>
      <c r="E3171" s="133"/>
      <c r="F3171" s="35">
        <v>97702</v>
      </c>
    </row>
    <row r="3172" spans="1:6" s="4" customFormat="1" ht="12">
      <c r="A3172" s="106">
        <v>540806</v>
      </c>
      <c r="B3172" s="111" t="s">
        <v>213</v>
      </c>
      <c r="C3172" s="103">
        <v>210085400</v>
      </c>
      <c r="D3172" s="111" t="s">
        <v>52</v>
      </c>
      <c r="E3172" s="133"/>
      <c r="F3172" s="35">
        <v>175591</v>
      </c>
    </row>
    <row r="3173" spans="1:6" s="4" customFormat="1" ht="12">
      <c r="A3173" s="106">
        <v>540806</v>
      </c>
      <c r="B3173" s="111" t="s">
        <v>213</v>
      </c>
      <c r="C3173" s="103">
        <v>211085410</v>
      </c>
      <c r="D3173" s="111" t="s">
        <v>53</v>
      </c>
      <c r="E3173" s="133"/>
      <c r="F3173" s="35">
        <v>267947</v>
      </c>
    </row>
    <row r="3174" spans="1:6" s="4" customFormat="1" ht="12">
      <c r="A3174" s="106">
        <v>540806</v>
      </c>
      <c r="B3174" s="111" t="s">
        <v>213</v>
      </c>
      <c r="C3174" s="103">
        <v>213085430</v>
      </c>
      <c r="D3174" s="111" t="s">
        <v>54</v>
      </c>
      <c r="E3174" s="133"/>
      <c r="F3174" s="35">
        <v>216248</v>
      </c>
    </row>
    <row r="3175" spans="1:6" s="4" customFormat="1" ht="12">
      <c r="A3175" s="106">
        <v>540806</v>
      </c>
      <c r="B3175" s="111" t="s">
        <v>213</v>
      </c>
      <c r="C3175" s="103">
        <v>214085440</v>
      </c>
      <c r="D3175" s="111" t="s">
        <v>1423</v>
      </c>
      <c r="E3175" s="133"/>
      <c r="F3175" s="35">
        <v>336390</v>
      </c>
    </row>
    <row r="3176" spans="1:6" s="4" customFormat="1" ht="12">
      <c r="A3176" s="106">
        <v>540806</v>
      </c>
      <c r="B3176" s="111" t="s">
        <v>213</v>
      </c>
      <c r="C3176" s="106">
        <v>210186001</v>
      </c>
      <c r="D3176" s="111" t="s">
        <v>55</v>
      </c>
      <c r="E3176" s="134"/>
      <c r="F3176" s="35">
        <v>590352</v>
      </c>
    </row>
    <row r="3177" spans="1:6" s="4" customFormat="1" ht="12">
      <c r="A3177" s="106">
        <v>540806</v>
      </c>
      <c r="B3177" s="111" t="s">
        <v>213</v>
      </c>
      <c r="C3177" s="106">
        <v>211986219</v>
      </c>
      <c r="D3177" s="111" t="s">
        <v>56</v>
      </c>
      <c r="E3177" s="134"/>
      <c r="F3177" s="35">
        <v>122189</v>
      </c>
    </row>
    <row r="3178" spans="1:6" s="4" customFormat="1" ht="12">
      <c r="A3178" s="106">
        <v>540806</v>
      </c>
      <c r="B3178" s="111" t="s">
        <v>213</v>
      </c>
      <c r="C3178" s="103">
        <v>212086320</v>
      </c>
      <c r="D3178" s="111" t="s">
        <v>57</v>
      </c>
      <c r="E3178" s="133"/>
      <c r="F3178" s="35">
        <v>836843</v>
      </c>
    </row>
    <row r="3179" spans="1:6" s="4" customFormat="1" ht="12">
      <c r="A3179" s="106">
        <v>540806</v>
      </c>
      <c r="B3179" s="111" t="s">
        <v>213</v>
      </c>
      <c r="C3179" s="103">
        <v>216886568</v>
      </c>
      <c r="D3179" s="111" t="s">
        <v>58</v>
      </c>
      <c r="E3179" s="133"/>
      <c r="F3179" s="35">
        <v>1023189</v>
      </c>
    </row>
    <row r="3180" spans="1:6" s="4" customFormat="1" ht="12">
      <c r="A3180" s="106">
        <v>540806</v>
      </c>
      <c r="B3180" s="111" t="s">
        <v>213</v>
      </c>
      <c r="C3180" s="103">
        <v>216986569</v>
      </c>
      <c r="D3180" s="111" t="s">
        <v>59</v>
      </c>
      <c r="E3180" s="133"/>
      <c r="F3180" s="35">
        <v>311060</v>
      </c>
    </row>
    <row r="3181" spans="1:6" s="4" customFormat="1" ht="12">
      <c r="A3181" s="106">
        <v>540806</v>
      </c>
      <c r="B3181" s="111" t="s">
        <v>213</v>
      </c>
      <c r="C3181" s="103">
        <v>217186571</v>
      </c>
      <c r="D3181" s="111" t="s">
        <v>60</v>
      </c>
      <c r="E3181" s="133"/>
      <c r="F3181" s="35">
        <v>603566</v>
      </c>
    </row>
    <row r="3182" spans="1:6" s="4" customFormat="1" ht="12">
      <c r="A3182" s="106">
        <v>540806</v>
      </c>
      <c r="B3182" s="111" t="s">
        <v>213</v>
      </c>
      <c r="C3182" s="106">
        <v>217386573</v>
      </c>
      <c r="D3182" s="111" t="s">
        <v>61</v>
      </c>
      <c r="E3182" s="134"/>
      <c r="F3182" s="35">
        <v>535878</v>
      </c>
    </row>
    <row r="3183" spans="1:6" s="4" customFormat="1" ht="12">
      <c r="A3183" s="106">
        <v>540806</v>
      </c>
      <c r="B3183" s="111" t="s">
        <v>213</v>
      </c>
      <c r="C3183" s="106">
        <v>214986749</v>
      </c>
      <c r="D3183" s="111" t="s">
        <v>62</v>
      </c>
      <c r="E3183" s="134"/>
      <c r="F3183" s="35">
        <v>270801</v>
      </c>
    </row>
    <row r="3184" spans="1:6" s="4" customFormat="1" ht="12">
      <c r="A3184" s="106">
        <v>540806</v>
      </c>
      <c r="B3184" s="111" t="s">
        <v>213</v>
      </c>
      <c r="C3184" s="106">
        <v>215586755</v>
      </c>
      <c r="D3184" s="111" t="s">
        <v>1284</v>
      </c>
      <c r="E3184" s="134"/>
      <c r="F3184" s="35">
        <v>102250</v>
      </c>
    </row>
    <row r="3185" spans="1:6" s="4" customFormat="1" ht="12">
      <c r="A3185" s="106">
        <v>540806</v>
      </c>
      <c r="B3185" s="111" t="s">
        <v>213</v>
      </c>
      <c r="C3185" s="106">
        <v>215786757</v>
      </c>
      <c r="D3185" s="111" t="s">
        <v>63</v>
      </c>
      <c r="E3185" s="134"/>
      <c r="F3185" s="35">
        <v>310934</v>
      </c>
    </row>
    <row r="3186" spans="1:6" s="4" customFormat="1" ht="12">
      <c r="A3186" s="106">
        <v>540806</v>
      </c>
      <c r="B3186" s="111" t="s">
        <v>213</v>
      </c>
      <c r="C3186" s="106">
        <v>216086760</v>
      </c>
      <c r="D3186" s="111" t="s">
        <v>2338</v>
      </c>
      <c r="E3186" s="134"/>
      <c r="F3186" s="35">
        <v>163626</v>
      </c>
    </row>
    <row r="3187" spans="1:6" s="4" customFormat="1" ht="12">
      <c r="A3187" s="106">
        <v>540806</v>
      </c>
      <c r="B3187" s="111" t="s">
        <v>213</v>
      </c>
      <c r="C3187" s="106">
        <v>216586865</v>
      </c>
      <c r="D3187" s="111" t="s">
        <v>64</v>
      </c>
      <c r="E3187" s="134"/>
      <c r="F3187" s="35">
        <v>728837</v>
      </c>
    </row>
    <row r="3188" spans="1:6" s="4" customFormat="1" ht="12">
      <c r="A3188" s="106">
        <v>540806</v>
      </c>
      <c r="B3188" s="111" t="s">
        <v>213</v>
      </c>
      <c r="C3188" s="106">
        <v>218586885</v>
      </c>
      <c r="D3188" s="111" t="s">
        <v>65</v>
      </c>
      <c r="E3188" s="134"/>
      <c r="F3188" s="35">
        <v>443338</v>
      </c>
    </row>
    <row r="3189" spans="1:6" s="4" customFormat="1" ht="12">
      <c r="A3189" s="106">
        <v>540806</v>
      </c>
      <c r="B3189" s="111" t="s">
        <v>213</v>
      </c>
      <c r="C3189" s="106" t="s">
        <v>747</v>
      </c>
      <c r="D3189" s="111" t="s">
        <v>1113</v>
      </c>
      <c r="E3189" s="134"/>
      <c r="F3189" s="35">
        <v>661108</v>
      </c>
    </row>
    <row r="3190" spans="1:6" s="4" customFormat="1" ht="12">
      <c r="A3190" s="106">
        <v>540806</v>
      </c>
      <c r="B3190" s="111" t="s">
        <v>213</v>
      </c>
      <c r="C3190" s="106">
        <v>216488564</v>
      </c>
      <c r="D3190" s="111" t="s">
        <v>66</v>
      </c>
      <c r="E3190" s="134"/>
      <c r="F3190" s="35">
        <v>121659</v>
      </c>
    </row>
    <row r="3191" spans="1:6" s="4" customFormat="1" ht="12">
      <c r="A3191" s="106">
        <v>540806</v>
      </c>
      <c r="B3191" s="111" t="s">
        <v>213</v>
      </c>
      <c r="C3191" s="103">
        <v>210191001</v>
      </c>
      <c r="D3191" s="111" t="s">
        <v>67</v>
      </c>
      <c r="E3191" s="133"/>
      <c r="F3191" s="35">
        <v>742794</v>
      </c>
    </row>
    <row r="3192" spans="1:6" s="4" customFormat="1" ht="12">
      <c r="A3192" s="106">
        <v>540806</v>
      </c>
      <c r="B3192" s="111" t="s">
        <v>213</v>
      </c>
      <c r="C3192" s="103">
        <v>214091540</v>
      </c>
      <c r="D3192" s="111" t="s">
        <v>68</v>
      </c>
      <c r="E3192" s="133"/>
      <c r="F3192" s="35">
        <v>187056</v>
      </c>
    </row>
    <row r="3193" spans="1:6" s="4" customFormat="1" ht="12">
      <c r="A3193" s="106">
        <v>540806</v>
      </c>
      <c r="B3193" s="111" t="s">
        <v>213</v>
      </c>
      <c r="C3193" s="106">
        <v>210194001</v>
      </c>
      <c r="D3193" s="111" t="s">
        <v>69</v>
      </c>
      <c r="E3193" s="134"/>
      <c r="F3193" s="35">
        <v>533534</v>
      </c>
    </row>
    <row r="3194" spans="1:6" s="4" customFormat="1" ht="12">
      <c r="A3194" s="106">
        <v>540806</v>
      </c>
      <c r="B3194" s="111" t="s">
        <v>213</v>
      </c>
      <c r="C3194" s="106">
        <v>210195001</v>
      </c>
      <c r="D3194" s="111" t="s">
        <v>70</v>
      </c>
      <c r="E3194" s="134"/>
      <c r="F3194" s="35">
        <v>1022612</v>
      </c>
    </row>
    <row r="3195" spans="1:6" s="4" customFormat="1" ht="12">
      <c r="A3195" s="106">
        <v>540806</v>
      </c>
      <c r="B3195" s="111" t="s">
        <v>213</v>
      </c>
      <c r="C3195" s="103">
        <v>211595015</v>
      </c>
      <c r="D3195" s="111" t="s">
        <v>1373</v>
      </c>
      <c r="E3195" s="133"/>
      <c r="F3195" s="35">
        <v>150859</v>
      </c>
    </row>
    <row r="3196" spans="1:6" s="4" customFormat="1" ht="12">
      <c r="A3196" s="106">
        <v>540806</v>
      </c>
      <c r="B3196" s="111" t="s">
        <v>213</v>
      </c>
      <c r="C3196" s="106">
        <v>212595025</v>
      </c>
      <c r="D3196" s="111" t="s">
        <v>71</v>
      </c>
      <c r="E3196" s="134"/>
      <c r="F3196" s="35">
        <v>369586</v>
      </c>
    </row>
    <row r="3197" spans="1:6" s="4" customFormat="1" ht="12">
      <c r="A3197" s="106">
        <v>540806</v>
      </c>
      <c r="B3197" s="111" t="s">
        <v>213</v>
      </c>
      <c r="C3197" s="106">
        <v>210095200</v>
      </c>
      <c r="D3197" s="111" t="s">
        <v>1480</v>
      </c>
      <c r="E3197" s="134"/>
      <c r="F3197" s="35">
        <v>130959</v>
      </c>
    </row>
    <row r="3198" spans="1:6" s="4" customFormat="1" ht="12">
      <c r="A3198" s="106">
        <v>540806</v>
      </c>
      <c r="B3198" s="111" t="s">
        <v>213</v>
      </c>
      <c r="C3198" s="103">
        <v>210197001</v>
      </c>
      <c r="D3198" s="111" t="s">
        <v>72</v>
      </c>
      <c r="E3198" s="133"/>
      <c r="F3198" s="35">
        <v>545146</v>
      </c>
    </row>
    <row r="3199" spans="1:6" s="4" customFormat="1" ht="12">
      <c r="A3199" s="106">
        <v>540806</v>
      </c>
      <c r="B3199" s="111" t="s">
        <v>213</v>
      </c>
      <c r="C3199" s="103">
        <v>216197161</v>
      </c>
      <c r="D3199" s="111" t="s">
        <v>73</v>
      </c>
      <c r="E3199" s="133"/>
      <c r="F3199" s="35">
        <v>74805</v>
      </c>
    </row>
    <row r="3200" spans="1:6" s="4" customFormat="1" ht="12">
      <c r="A3200" s="106">
        <v>540806</v>
      </c>
      <c r="B3200" s="111" t="s">
        <v>213</v>
      </c>
      <c r="C3200" s="103">
        <v>216697666</v>
      </c>
      <c r="D3200" s="111" t="s">
        <v>74</v>
      </c>
      <c r="E3200" s="133"/>
      <c r="F3200" s="35">
        <v>30876</v>
      </c>
    </row>
    <row r="3201" spans="1:6" s="4" customFormat="1" ht="12">
      <c r="A3201" s="106">
        <v>540806</v>
      </c>
      <c r="B3201" s="111" t="s">
        <v>213</v>
      </c>
      <c r="C3201" s="103">
        <v>210199001</v>
      </c>
      <c r="D3201" s="111" t="s">
        <v>75</v>
      </c>
      <c r="E3201" s="133"/>
      <c r="F3201" s="35">
        <v>249254</v>
      </c>
    </row>
    <row r="3202" spans="1:6" s="4" customFormat="1" ht="12">
      <c r="A3202" s="106">
        <v>540806</v>
      </c>
      <c r="B3202" s="111" t="s">
        <v>213</v>
      </c>
      <c r="C3202" s="103">
        <v>212499524</v>
      </c>
      <c r="D3202" s="111" t="s">
        <v>76</v>
      </c>
      <c r="E3202" s="133"/>
      <c r="F3202" s="35">
        <v>198378</v>
      </c>
    </row>
    <row r="3203" spans="1:6" s="4" customFormat="1" ht="12">
      <c r="A3203" s="106">
        <v>540806</v>
      </c>
      <c r="B3203" s="111" t="s">
        <v>213</v>
      </c>
      <c r="C3203" s="103">
        <v>212499624</v>
      </c>
      <c r="D3203" s="111" t="s">
        <v>77</v>
      </c>
      <c r="E3203" s="133"/>
      <c r="F3203" s="35">
        <v>84166</v>
      </c>
    </row>
    <row r="3204" spans="1:6" s="4" customFormat="1" ht="12">
      <c r="A3204" s="106">
        <v>540806</v>
      </c>
      <c r="B3204" s="111" t="s">
        <v>213</v>
      </c>
      <c r="C3204" s="103">
        <v>217399773</v>
      </c>
      <c r="D3204" s="111" t="s">
        <v>78</v>
      </c>
      <c r="E3204" s="133"/>
      <c r="F3204" s="35">
        <v>892070</v>
      </c>
    </row>
    <row r="3205" spans="1:6" s="4" customFormat="1" ht="6.75" customHeight="1">
      <c r="A3205" s="96"/>
      <c r="B3205" s="97"/>
      <c r="C3205" s="98"/>
      <c r="D3205" s="97"/>
      <c r="E3205" s="99"/>
      <c r="F3205" s="100"/>
    </row>
    <row r="3206" spans="1:6" s="4" customFormat="1" ht="12">
      <c r="A3206" s="113">
        <v>540812</v>
      </c>
      <c r="B3206" s="114" t="s">
        <v>214</v>
      </c>
      <c r="C3206" s="103"/>
      <c r="D3206" s="111"/>
      <c r="E3206" s="133"/>
      <c r="F3206" s="33">
        <f>+F3207+F3208+F3209+F3210</f>
        <v>1348111273</v>
      </c>
    </row>
    <row r="3207" spans="1:6" s="4" customFormat="1" ht="12">
      <c r="A3207" s="106">
        <v>540812</v>
      </c>
      <c r="B3207" s="111" t="s">
        <v>214</v>
      </c>
      <c r="C3207" s="103">
        <v>210111001</v>
      </c>
      <c r="D3207" s="115" t="s">
        <v>1119</v>
      </c>
      <c r="E3207" s="95"/>
      <c r="F3207" s="35">
        <v>925729028</v>
      </c>
    </row>
    <row r="3208" spans="1:6" s="4" customFormat="1" ht="12">
      <c r="A3208" s="106">
        <v>540812</v>
      </c>
      <c r="B3208" s="111" t="s">
        <v>214</v>
      </c>
      <c r="C3208" s="103">
        <v>210108001</v>
      </c>
      <c r="D3208" s="115" t="s">
        <v>1120</v>
      </c>
      <c r="E3208" s="95"/>
      <c r="F3208" s="35">
        <v>170051552</v>
      </c>
    </row>
    <row r="3209" spans="1:6" s="4" customFormat="1" ht="12">
      <c r="A3209" s="106">
        <v>540812</v>
      </c>
      <c r="B3209" s="111" t="s">
        <v>214</v>
      </c>
      <c r="C3209" s="103">
        <v>210113001</v>
      </c>
      <c r="D3209" s="115" t="s">
        <v>1121</v>
      </c>
      <c r="E3209" s="95"/>
      <c r="F3209" s="35">
        <v>166486024</v>
      </c>
    </row>
    <row r="3210" spans="1:6" s="4" customFormat="1" ht="12">
      <c r="A3210" s="106">
        <v>540812</v>
      </c>
      <c r="B3210" s="111" t="s">
        <v>214</v>
      </c>
      <c r="C3210" s="103">
        <v>210147001</v>
      </c>
      <c r="D3210" s="115" t="s">
        <v>215</v>
      </c>
      <c r="E3210" s="95"/>
      <c r="F3210" s="35">
        <v>85844669</v>
      </c>
    </row>
    <row r="3211" spans="1:6" s="4" customFormat="1" ht="8.25" customHeight="1">
      <c r="A3211" s="96"/>
      <c r="B3211" s="97"/>
      <c r="C3211" s="98"/>
      <c r="D3211" s="97"/>
      <c r="E3211" s="99"/>
      <c r="F3211" s="100"/>
    </row>
    <row r="3212" spans="1:6" s="4" customFormat="1" ht="12">
      <c r="A3212" s="113">
        <v>572080</v>
      </c>
      <c r="B3212" s="114" t="s">
        <v>216</v>
      </c>
      <c r="C3212" s="103"/>
      <c r="D3212" s="115"/>
      <c r="E3212" s="95"/>
      <c r="F3212" s="33">
        <f>+F3213</f>
        <v>28797983</v>
      </c>
    </row>
    <row r="3213" spans="1:6" ht="12">
      <c r="A3213" s="106">
        <v>572080</v>
      </c>
      <c r="B3213" s="111" t="s">
        <v>216</v>
      </c>
      <c r="C3213" s="110">
        <v>11500000</v>
      </c>
      <c r="D3213" s="125" t="s">
        <v>1082</v>
      </c>
      <c r="E3213" s="136"/>
      <c r="F3213" s="35">
        <v>28797983</v>
      </c>
    </row>
    <row r="3214" ht="12"/>
    <row r="3216" spans="1:6" ht="12">
      <c r="A3216" s="9"/>
      <c r="B3216" s="138"/>
      <c r="C3216" s="11"/>
      <c r="D3216" s="139"/>
      <c r="E3216" s="1"/>
      <c r="F3216" s="2"/>
    </row>
    <row r="3217" spans="1:6" ht="12">
      <c r="A3217" s="9"/>
      <c r="B3217" s="138"/>
      <c r="C3217" s="11"/>
      <c r="D3217" s="139"/>
      <c r="E3217" s="1"/>
      <c r="F3217" s="2"/>
    </row>
    <row r="3218" spans="1:6" ht="12">
      <c r="A3218" s="140" t="s">
        <v>2609</v>
      </c>
      <c r="B3218" s="141"/>
      <c r="C3218" s="140"/>
      <c r="D3218" s="142" t="s">
        <v>2610</v>
      </c>
      <c r="E3218" s="85"/>
      <c r="F3218" s="143"/>
    </row>
    <row r="3219" spans="1:6" ht="12">
      <c r="A3219" s="144" t="s">
        <v>2611</v>
      </c>
      <c r="B3219" s="145"/>
      <c r="C3219" s="144"/>
      <c r="D3219" s="146" t="s">
        <v>2612</v>
      </c>
      <c r="E3219" s="85"/>
      <c r="F3219" s="147"/>
    </row>
    <row r="3220" spans="1:6" ht="12">
      <c r="A3220" s="148"/>
      <c r="B3220" s="149"/>
      <c r="C3220" s="150"/>
      <c r="D3220" s="151"/>
      <c r="E3220" s="148"/>
      <c r="F3220" s="148"/>
    </row>
    <row r="3221" spans="1:6" ht="12">
      <c r="A3221" s="148"/>
      <c r="B3221" s="149"/>
      <c r="C3221" s="150"/>
      <c r="D3221" s="151"/>
      <c r="E3221" s="148"/>
      <c r="F3221" s="148"/>
    </row>
    <row r="3222" spans="1:6" ht="12">
      <c r="A3222" s="148"/>
      <c r="B3222" s="149"/>
      <c r="C3222" s="150"/>
      <c r="D3222" s="152"/>
      <c r="E3222" s="148"/>
      <c r="F3222" s="148"/>
    </row>
    <row r="3223" spans="1:6" ht="12">
      <c r="A3223" s="148"/>
      <c r="B3223" s="149"/>
      <c r="C3223" s="150"/>
      <c r="D3223" s="152"/>
      <c r="E3223" s="148"/>
      <c r="F3223" s="148"/>
    </row>
    <row r="3224" spans="1:6" ht="12">
      <c r="A3224" s="143" t="s">
        <v>2613</v>
      </c>
      <c r="B3224" s="142"/>
      <c r="C3224" s="143"/>
      <c r="D3224" s="142"/>
      <c r="E3224" s="148"/>
      <c r="F3224" s="148"/>
    </row>
    <row r="3225" spans="1:6" ht="12">
      <c r="A3225" s="147" t="s">
        <v>2614</v>
      </c>
      <c r="B3225" s="146"/>
      <c r="C3225" s="147"/>
      <c r="D3225" s="146"/>
      <c r="E3225" s="148"/>
      <c r="F3225" s="148"/>
    </row>
    <row r="3226" spans="1:6" ht="12">
      <c r="A3226" s="147" t="s">
        <v>2615</v>
      </c>
      <c r="B3226" s="146"/>
      <c r="C3226" s="147"/>
      <c r="D3226" s="146"/>
      <c r="E3226" s="148"/>
      <c r="F3226" s="148"/>
    </row>
  </sheetData>
  <sheetProtection password="8D25" sheet="1" formatCells="0" formatColumns="0" formatRows="0" insertColumns="0" insertRows="0" insertHyperlinks="0" deleteColumns="0" deleteRows="0" sort="0" autoFilter="0" pivotTables="0"/>
  <mergeCells count="8">
    <mergeCell ref="A4:C4"/>
    <mergeCell ref="A5:C5"/>
    <mergeCell ref="A6:C6"/>
    <mergeCell ref="B7:F7"/>
    <mergeCell ref="A1:C1"/>
    <mergeCell ref="E1:F1"/>
    <mergeCell ref="A2:C2"/>
    <mergeCell ref="A3:C3"/>
  </mergeCells>
  <printOptions/>
  <pageMargins left="0.75" right="0.75" top="1" bottom="1" header="0" footer="0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240"/>
  <sheetViews>
    <sheetView workbookViewId="0" topLeftCell="A1">
      <selection activeCell="F21" sqref="F21"/>
    </sheetView>
  </sheetViews>
  <sheetFormatPr defaultColWidth="11.421875" defaultRowHeight="12.75"/>
  <cols>
    <col min="1" max="1" width="5.7109375" style="42" customWidth="1"/>
    <col min="2" max="2" width="35.57421875" style="42" customWidth="1"/>
    <col min="3" max="4" width="10.8515625" style="44" bestFit="1" customWidth="1"/>
    <col min="5" max="5" width="6.421875" style="42" customWidth="1"/>
    <col min="6" max="6" width="37.57421875" style="42" customWidth="1"/>
    <col min="7" max="8" width="12.8515625" style="44" bestFit="1" customWidth="1"/>
    <col min="9" max="16384" width="11.421875" style="42" customWidth="1"/>
  </cols>
  <sheetData>
    <row r="1" spans="1:8" ht="12">
      <c r="A1" s="302" t="s">
        <v>2616</v>
      </c>
      <c r="B1" s="302"/>
      <c r="C1" s="302"/>
      <c r="D1" s="302"/>
      <c r="E1" s="302"/>
      <c r="F1" s="302"/>
      <c r="G1" s="302"/>
      <c r="H1" s="302"/>
    </row>
    <row r="2" spans="1:8" ht="12">
      <c r="A2" s="302" t="s">
        <v>2617</v>
      </c>
      <c r="B2" s="302"/>
      <c r="C2" s="302"/>
      <c r="D2" s="302"/>
      <c r="E2" s="302"/>
      <c r="F2" s="302"/>
      <c r="G2" s="302"/>
      <c r="H2" s="302"/>
    </row>
    <row r="3" spans="1:8" ht="12">
      <c r="A3" s="47" t="s">
        <v>2618</v>
      </c>
      <c r="B3" s="48"/>
      <c r="C3" s="49"/>
      <c r="D3" s="49"/>
      <c r="E3" s="48"/>
      <c r="F3" s="48"/>
      <c r="G3" s="49"/>
      <c r="H3" s="49"/>
    </row>
    <row r="4" spans="1:8" ht="12">
      <c r="A4" s="302" t="s">
        <v>2619</v>
      </c>
      <c r="B4" s="302"/>
      <c r="C4" s="302"/>
      <c r="D4" s="302"/>
      <c r="E4" s="302"/>
      <c r="F4" s="302"/>
      <c r="G4" s="302"/>
      <c r="H4" s="302"/>
    </row>
    <row r="5" spans="1:8" ht="12">
      <c r="A5" s="302" t="s">
        <v>2620</v>
      </c>
      <c r="B5" s="302"/>
      <c r="C5" s="302"/>
      <c r="D5" s="302"/>
      <c r="E5" s="302"/>
      <c r="F5" s="302"/>
      <c r="G5" s="302"/>
      <c r="H5" s="302"/>
    </row>
    <row r="6" spans="1:8" s="43" customFormat="1" ht="12.75" customHeight="1">
      <c r="A6" s="50"/>
      <c r="B6" s="50"/>
      <c r="C6" s="51">
        <v>2006</v>
      </c>
      <c r="D6" s="51">
        <v>2005</v>
      </c>
      <c r="E6" s="50"/>
      <c r="F6" s="50"/>
      <c r="G6" s="51">
        <v>2006</v>
      </c>
      <c r="H6" s="51">
        <v>2005</v>
      </c>
    </row>
    <row r="7" spans="1:8" s="43" customFormat="1" ht="12">
      <c r="A7" s="50"/>
      <c r="B7" s="50"/>
      <c r="C7" s="51" t="s">
        <v>2621</v>
      </c>
      <c r="D7" s="51" t="s">
        <v>2621</v>
      </c>
      <c r="E7" s="50"/>
      <c r="F7" s="50"/>
      <c r="G7" s="51" t="s">
        <v>2621</v>
      </c>
      <c r="H7" s="51" t="s">
        <v>2621</v>
      </c>
    </row>
    <row r="8" spans="1:8" s="43" customFormat="1" ht="12">
      <c r="A8" s="50" t="s">
        <v>2622</v>
      </c>
      <c r="B8" s="50" t="s">
        <v>3443</v>
      </c>
      <c r="C8" s="51" t="s">
        <v>2623</v>
      </c>
      <c r="D8" s="51" t="s">
        <v>2623</v>
      </c>
      <c r="E8" s="50" t="s">
        <v>2622</v>
      </c>
      <c r="F8" s="50" t="s">
        <v>908</v>
      </c>
      <c r="G8" s="51" t="s">
        <v>2623</v>
      </c>
      <c r="H8" s="51" t="s">
        <v>2623</v>
      </c>
    </row>
    <row r="9" spans="1:8" s="43" customFormat="1" ht="12">
      <c r="A9" s="50"/>
      <c r="B9" s="50"/>
      <c r="C9" s="51" t="s">
        <v>2624</v>
      </c>
      <c r="D9" s="51" t="s">
        <v>2624</v>
      </c>
      <c r="E9" s="50"/>
      <c r="F9" s="50"/>
      <c r="G9" s="51" t="s">
        <v>2624</v>
      </c>
      <c r="H9" s="51" t="s">
        <v>2624</v>
      </c>
    </row>
    <row r="10" spans="1:8" ht="12">
      <c r="A10" s="52"/>
      <c r="B10" s="52"/>
      <c r="C10" s="53"/>
      <c r="D10" s="53"/>
      <c r="E10" s="52"/>
      <c r="F10" s="52"/>
      <c r="G10" s="53"/>
      <c r="H10" s="53"/>
    </row>
    <row r="11" spans="2:8" s="148" customFormat="1" ht="12">
      <c r="B11" s="263" t="s">
        <v>2625</v>
      </c>
      <c r="C11" s="264">
        <f>C13+C21+C28+C34+C48+C59</f>
        <v>487083143</v>
      </c>
      <c r="D11" s="264">
        <f>D13+D21+D28+D34+D48+D59+D84</f>
        <v>580820355</v>
      </c>
      <c r="F11" s="263" t="s">
        <v>2626</v>
      </c>
      <c r="G11" s="264">
        <f>G13+G19+G24+G29+G50+G55+G64+G73</f>
        <v>790280015</v>
      </c>
      <c r="H11" s="264">
        <f>+H13+H19+H24+H29+H50+H55+H64+H73</f>
        <v>749203520</v>
      </c>
    </row>
    <row r="12" spans="3:8" s="148" customFormat="1" ht="12">
      <c r="C12" s="150"/>
      <c r="D12" s="150"/>
      <c r="G12" s="150"/>
      <c r="H12" s="150"/>
    </row>
    <row r="13" spans="1:8" s="148" customFormat="1" ht="12">
      <c r="A13" s="148">
        <v>11</v>
      </c>
      <c r="B13" s="263" t="s">
        <v>1590</v>
      </c>
      <c r="C13" s="264">
        <f>SUM(C15:C19)</f>
        <v>25287255</v>
      </c>
      <c r="D13" s="264">
        <f>SUM(D15:D19)</f>
        <v>21083313</v>
      </c>
      <c r="E13" s="148">
        <v>21</v>
      </c>
      <c r="F13" s="263" t="s">
        <v>2627</v>
      </c>
      <c r="G13" s="264">
        <f>SUM(G15:G17)</f>
        <v>0</v>
      </c>
      <c r="H13" s="264">
        <f>SUM(H15:H17)</f>
        <v>0</v>
      </c>
    </row>
    <row r="14" spans="3:8" s="148" customFormat="1" ht="12">
      <c r="C14" s="150"/>
      <c r="D14" s="150"/>
      <c r="G14" s="150"/>
      <c r="H14" s="150"/>
    </row>
    <row r="15" spans="1:8" s="148" customFormat="1" ht="12">
      <c r="A15" s="148">
        <v>1105</v>
      </c>
      <c r="B15" s="148" t="s">
        <v>2628</v>
      </c>
      <c r="C15" s="150">
        <f>'[1]CONSOLIDADO'!H13</f>
        <v>0</v>
      </c>
      <c r="D15" s="150">
        <v>1399</v>
      </c>
      <c r="E15" s="148">
        <v>2105</v>
      </c>
      <c r="F15" s="148" t="s">
        <v>2629</v>
      </c>
      <c r="G15" s="150">
        <v>0</v>
      </c>
      <c r="H15" s="150">
        <v>0</v>
      </c>
    </row>
    <row r="16" spans="1:8" s="148" customFormat="1" ht="12">
      <c r="A16" s="148">
        <v>1110</v>
      </c>
      <c r="B16" s="148" t="s">
        <v>895</v>
      </c>
      <c r="C16" s="150">
        <f>+'[1]CONSOLIDADO CHIP'!H16</f>
        <v>342246</v>
      </c>
      <c r="D16" s="150">
        <v>1361419</v>
      </c>
      <c r="E16" s="148">
        <v>2110</v>
      </c>
      <c r="F16" s="148" t="s">
        <v>2630</v>
      </c>
      <c r="G16" s="150">
        <v>0</v>
      </c>
      <c r="H16" s="150">
        <v>0</v>
      </c>
    </row>
    <row r="17" spans="1:8" s="148" customFormat="1" ht="12">
      <c r="A17" s="148">
        <v>1115</v>
      </c>
      <c r="B17" s="148" t="s">
        <v>2631</v>
      </c>
      <c r="C17" s="150">
        <v>0</v>
      </c>
      <c r="D17" s="150">
        <v>0</v>
      </c>
      <c r="E17" s="148">
        <v>2115</v>
      </c>
      <c r="F17" s="148" t="s">
        <v>2632</v>
      </c>
      <c r="G17" s="150">
        <v>0</v>
      </c>
      <c r="H17" s="150">
        <v>0</v>
      </c>
    </row>
    <row r="18" spans="1:8" s="148" customFormat="1" ht="12">
      <c r="A18" s="148">
        <v>1120</v>
      </c>
      <c r="B18" s="148" t="s">
        <v>2633</v>
      </c>
      <c r="C18" s="150">
        <v>0</v>
      </c>
      <c r="D18" s="150">
        <v>0</v>
      </c>
      <c r="G18" s="150"/>
      <c r="H18" s="150"/>
    </row>
    <row r="19" spans="1:8" s="148" customFormat="1" ht="12">
      <c r="A19" s="148">
        <v>1125</v>
      </c>
      <c r="B19" s="148" t="s">
        <v>2634</v>
      </c>
      <c r="C19" s="150">
        <f>+'[1]CONSOLIDADO CHIP'!H20</f>
        <v>24945009</v>
      </c>
      <c r="D19" s="150">
        <v>19720495</v>
      </c>
      <c r="E19" s="148">
        <v>22</v>
      </c>
      <c r="F19" s="263" t="s">
        <v>2635</v>
      </c>
      <c r="G19" s="264">
        <f>SUM(G21:G22)</f>
        <v>16600966</v>
      </c>
      <c r="H19" s="264">
        <f>SUM(H21:H22)</f>
        <v>27433525</v>
      </c>
    </row>
    <row r="20" spans="3:8" s="148" customFormat="1" ht="12">
      <c r="C20" s="150"/>
      <c r="D20" s="150"/>
      <c r="F20" s="263"/>
      <c r="G20" s="150"/>
      <c r="H20" s="150"/>
    </row>
    <row r="21" spans="1:8" s="148" customFormat="1" ht="12">
      <c r="A21" s="148">
        <v>12</v>
      </c>
      <c r="B21" s="263" t="s">
        <v>2636</v>
      </c>
      <c r="C21" s="264">
        <f>SUM(C22:C26)</f>
        <v>223394664</v>
      </c>
      <c r="D21" s="264">
        <f>SUM(D22:D26)</f>
        <v>201599365</v>
      </c>
      <c r="E21" s="148">
        <v>2205</v>
      </c>
      <c r="F21" s="148" t="s">
        <v>2637</v>
      </c>
      <c r="G21" s="150">
        <v>0</v>
      </c>
      <c r="H21" s="150">
        <v>0</v>
      </c>
    </row>
    <row r="22" spans="1:8" s="148" customFormat="1" ht="12">
      <c r="A22" s="148">
        <v>1201</v>
      </c>
      <c r="B22" s="148" t="s">
        <v>2638</v>
      </c>
      <c r="C22" s="150">
        <f>+'[1]CONSOLIDADO CHIP'!H24</f>
        <v>223394664</v>
      </c>
      <c r="D22" s="150">
        <v>201599365</v>
      </c>
      <c r="E22" s="148">
        <v>2246</v>
      </c>
      <c r="F22" s="148" t="s">
        <v>2639</v>
      </c>
      <c r="G22" s="150">
        <f>+'[1]CONSOLIDADO CHIP'!H225</f>
        <v>16600966</v>
      </c>
      <c r="H22" s="150">
        <v>27433525</v>
      </c>
    </row>
    <row r="23" spans="1:8" s="148" customFormat="1" ht="12">
      <c r="A23" s="148">
        <v>1202</v>
      </c>
      <c r="B23" s="148" t="s">
        <v>2640</v>
      </c>
      <c r="C23" s="150">
        <v>0</v>
      </c>
      <c r="D23" s="150">
        <v>0</v>
      </c>
      <c r="G23" s="150"/>
      <c r="H23" s="150"/>
    </row>
    <row r="24" spans="1:8" s="148" customFormat="1" ht="12">
      <c r="A24" s="148">
        <v>1205</v>
      </c>
      <c r="B24" s="148" t="s">
        <v>2641</v>
      </c>
      <c r="C24" s="150">
        <v>0</v>
      </c>
      <c r="D24" s="150">
        <v>0</v>
      </c>
      <c r="E24" s="148">
        <v>23</v>
      </c>
      <c r="F24" s="263" t="s">
        <v>2642</v>
      </c>
      <c r="G24" s="264">
        <f>SUM(G26:G27)</f>
        <v>0</v>
      </c>
      <c r="H24" s="264">
        <f>SUM(H26:H27)</f>
        <v>0</v>
      </c>
    </row>
    <row r="25" spans="1:8" s="148" customFormat="1" ht="12">
      <c r="A25" s="148">
        <v>1215</v>
      </c>
      <c r="B25" s="148" t="s">
        <v>2643</v>
      </c>
      <c r="C25" s="150">
        <v>0</v>
      </c>
      <c r="D25" s="150">
        <v>0</v>
      </c>
      <c r="F25" s="263"/>
      <c r="G25" s="264"/>
      <c r="H25" s="264"/>
    </row>
    <row r="26" spans="1:8" s="148" customFormat="1" ht="12">
      <c r="A26" s="148">
        <v>1280</v>
      </c>
      <c r="B26" s="148" t="s">
        <v>2644</v>
      </c>
      <c r="C26" s="150">
        <v>0</v>
      </c>
      <c r="D26" s="150">
        <v>0</v>
      </c>
      <c r="E26" s="148">
        <v>2305</v>
      </c>
      <c r="F26" s="148" t="s">
        <v>2645</v>
      </c>
      <c r="G26" s="150">
        <v>0</v>
      </c>
      <c r="H26" s="150">
        <v>0</v>
      </c>
    </row>
    <row r="27" spans="3:8" s="148" customFormat="1" ht="12">
      <c r="C27" s="150"/>
      <c r="D27" s="150"/>
      <c r="E27" s="148">
        <v>2310</v>
      </c>
      <c r="F27" s="148" t="s">
        <v>2646</v>
      </c>
      <c r="G27" s="150">
        <v>0</v>
      </c>
      <c r="H27" s="150">
        <v>0</v>
      </c>
    </row>
    <row r="28" spans="1:8" s="148" customFormat="1" ht="12">
      <c r="A28" s="148">
        <v>13</v>
      </c>
      <c r="B28" s="263" t="s">
        <v>2647</v>
      </c>
      <c r="C28" s="264">
        <f>SUM(C29:C32)</f>
        <v>0</v>
      </c>
      <c r="D28" s="264">
        <f>SUM(D29:D32)</f>
        <v>0</v>
      </c>
      <c r="G28" s="150"/>
      <c r="H28" s="150"/>
    </row>
    <row r="29" spans="1:8" s="148" customFormat="1" ht="12">
      <c r="A29" s="148">
        <v>1305</v>
      </c>
      <c r="B29" s="148" t="s">
        <v>2648</v>
      </c>
      <c r="C29" s="150">
        <v>0</v>
      </c>
      <c r="D29" s="150">
        <v>0</v>
      </c>
      <c r="E29" s="148">
        <v>24</v>
      </c>
      <c r="F29" s="263" t="s">
        <v>2649</v>
      </c>
      <c r="G29" s="264">
        <f>SUM(G31:G48)</f>
        <v>772538795</v>
      </c>
      <c r="H29" s="264">
        <f>SUM(H31:H48)</f>
        <v>719997666</v>
      </c>
    </row>
    <row r="30" spans="1:8" s="148" customFormat="1" ht="12">
      <c r="A30" s="148">
        <v>1310</v>
      </c>
      <c r="B30" s="148" t="s">
        <v>2650</v>
      </c>
      <c r="C30" s="150">
        <v>0</v>
      </c>
      <c r="D30" s="150">
        <v>0</v>
      </c>
      <c r="F30" s="263"/>
      <c r="G30" s="264"/>
      <c r="H30" s="264"/>
    </row>
    <row r="31" spans="1:8" s="148" customFormat="1" ht="12">
      <c r="A31" s="148">
        <v>1315</v>
      </c>
      <c r="B31" s="148" t="s">
        <v>2651</v>
      </c>
      <c r="C31" s="150">
        <v>0</v>
      </c>
      <c r="D31" s="150">
        <v>0</v>
      </c>
      <c r="E31" s="148">
        <v>2401</v>
      </c>
      <c r="F31" s="148" t="s">
        <v>2652</v>
      </c>
      <c r="G31" s="150">
        <f>+'[1]CONSOLIDADO CHIP'!H228</f>
        <v>2264314</v>
      </c>
      <c r="H31" s="150">
        <v>427747</v>
      </c>
    </row>
    <row r="32" spans="1:8" s="148" customFormat="1" ht="12">
      <c r="A32" s="148">
        <v>1380</v>
      </c>
      <c r="B32" s="148" t="s">
        <v>2653</v>
      </c>
      <c r="C32" s="150">
        <v>0</v>
      </c>
      <c r="D32" s="150">
        <v>0</v>
      </c>
      <c r="E32" s="148">
        <v>2403</v>
      </c>
      <c r="F32" s="148" t="s">
        <v>2654</v>
      </c>
      <c r="G32" s="150">
        <f>+'[1]CONSOLIDADO CHIP'!H232</f>
        <v>768395613</v>
      </c>
      <c r="H32" s="150">
        <v>717857233</v>
      </c>
    </row>
    <row r="33" spans="3:8" s="148" customFormat="1" ht="12">
      <c r="C33" s="150"/>
      <c r="D33" s="150"/>
      <c r="E33" s="148">
        <v>2406</v>
      </c>
      <c r="F33" s="148" t="s">
        <v>2655</v>
      </c>
      <c r="G33" s="150">
        <v>0</v>
      </c>
      <c r="H33" s="150">
        <v>0</v>
      </c>
    </row>
    <row r="34" spans="1:8" s="148" customFormat="1" ht="12">
      <c r="A34" s="148">
        <v>14</v>
      </c>
      <c r="B34" s="263" t="s">
        <v>896</v>
      </c>
      <c r="C34" s="264">
        <f>SUM(C35:C46)</f>
        <v>238401224</v>
      </c>
      <c r="D34" s="264">
        <f>SUM(D35:D46)</f>
        <v>358137677</v>
      </c>
      <c r="E34" s="148">
        <v>2410</v>
      </c>
      <c r="F34" s="148" t="s">
        <v>2656</v>
      </c>
      <c r="G34" s="150">
        <v>0</v>
      </c>
      <c r="H34" s="150">
        <v>0</v>
      </c>
    </row>
    <row r="35" spans="1:8" s="148" customFormat="1" ht="12">
      <c r="A35" s="148">
        <v>1401</v>
      </c>
      <c r="B35" s="148" t="s">
        <v>2657</v>
      </c>
      <c r="C35" s="150">
        <f>+'[1]CONSOLIDADO CHIP'!H37</f>
        <v>0</v>
      </c>
      <c r="D35" s="150">
        <v>0</v>
      </c>
      <c r="E35" s="148">
        <v>2415</v>
      </c>
      <c r="F35" s="148" t="s">
        <v>2658</v>
      </c>
      <c r="G35" s="150">
        <v>0</v>
      </c>
      <c r="H35" s="150">
        <v>0</v>
      </c>
    </row>
    <row r="36" spans="1:8" s="148" customFormat="1" ht="12">
      <c r="A36" s="148">
        <v>1404</v>
      </c>
      <c r="B36" s="148" t="s">
        <v>2659</v>
      </c>
      <c r="C36" s="150">
        <f>+'[1]CONSOLIDADO CHIP'!H42</f>
        <v>2758852</v>
      </c>
      <c r="D36" s="150">
        <v>1333738</v>
      </c>
      <c r="E36" s="148">
        <v>2420</v>
      </c>
      <c r="F36" s="148" t="s">
        <v>2660</v>
      </c>
      <c r="G36" s="150">
        <v>0</v>
      </c>
      <c r="H36" s="150">
        <v>0</v>
      </c>
    </row>
    <row r="37" spans="1:8" s="148" customFormat="1" ht="12">
      <c r="A37" s="148">
        <v>1407</v>
      </c>
      <c r="B37" s="148" t="s">
        <v>2661</v>
      </c>
      <c r="C37" s="150">
        <v>0</v>
      </c>
      <c r="D37" s="150">
        <v>312465</v>
      </c>
      <c r="E37" s="148">
        <v>2425</v>
      </c>
      <c r="F37" s="148" t="s">
        <v>2662</v>
      </c>
      <c r="G37" s="150">
        <f>+'[1]CONSOLIDADO CHIP'!H241</f>
        <v>747034</v>
      </c>
      <c r="H37" s="150">
        <v>34183</v>
      </c>
    </row>
    <row r="38" spans="1:8" s="148" customFormat="1" ht="12">
      <c r="A38" s="148">
        <v>1410</v>
      </c>
      <c r="B38" s="148" t="s">
        <v>2663</v>
      </c>
      <c r="C38" s="150">
        <v>0</v>
      </c>
      <c r="D38" s="150">
        <v>0</v>
      </c>
      <c r="E38" s="148">
        <v>2430</v>
      </c>
      <c r="F38" s="148" t="s">
        <v>2664</v>
      </c>
      <c r="G38" s="150">
        <v>0</v>
      </c>
      <c r="H38" s="150">
        <v>0</v>
      </c>
    </row>
    <row r="39" spans="1:8" s="148" customFormat="1" ht="12">
      <c r="A39" s="148">
        <v>1413</v>
      </c>
      <c r="B39" s="148" t="s">
        <v>2665</v>
      </c>
      <c r="C39" s="150">
        <v>0</v>
      </c>
      <c r="D39" s="150">
        <v>360693</v>
      </c>
      <c r="E39" s="148">
        <v>2435</v>
      </c>
      <c r="F39" s="148" t="s">
        <v>2666</v>
      </c>
      <c r="G39" s="150">
        <v>0</v>
      </c>
      <c r="H39" s="150">
        <v>0</v>
      </c>
    </row>
    <row r="40" spans="1:8" s="148" customFormat="1" ht="12">
      <c r="A40" s="148">
        <v>1415</v>
      </c>
      <c r="B40" s="148" t="s">
        <v>2667</v>
      </c>
      <c r="C40" s="150">
        <v>0</v>
      </c>
      <c r="D40" s="150">
        <v>0</v>
      </c>
      <c r="E40" s="148">
        <v>2436</v>
      </c>
      <c r="F40" s="148" t="s">
        <v>2668</v>
      </c>
      <c r="G40" s="150">
        <f>+'[1]CONSOLIDADO CHIP'!H264</f>
        <v>842045</v>
      </c>
      <c r="H40" s="150">
        <v>797692</v>
      </c>
    </row>
    <row r="41" spans="1:8" s="148" customFormat="1" ht="12">
      <c r="A41" s="148">
        <v>1420</v>
      </c>
      <c r="B41" s="148" t="s">
        <v>2669</v>
      </c>
      <c r="C41" s="150">
        <f>+'[1]CONSOLIDADO CHIP'!H54</f>
        <v>20422231</v>
      </c>
      <c r="D41" s="150">
        <v>187379789</v>
      </c>
      <c r="E41" s="148">
        <v>2437</v>
      </c>
      <c r="F41" s="148" t="s">
        <v>2670</v>
      </c>
      <c r="G41" s="150">
        <f>+'[1]CONSOLIDADO CHIP'!H275</f>
        <v>61083</v>
      </c>
      <c r="H41" s="150">
        <v>38382</v>
      </c>
    </row>
    <row r="42" spans="1:8" s="148" customFormat="1" ht="12">
      <c r="A42" s="148">
        <v>1422</v>
      </c>
      <c r="B42" s="148" t="s">
        <v>2671</v>
      </c>
      <c r="C42" s="150">
        <v>0</v>
      </c>
      <c r="D42" s="150">
        <v>1298</v>
      </c>
      <c r="E42" s="148">
        <v>2440</v>
      </c>
      <c r="F42" s="148" t="s">
        <v>2672</v>
      </c>
      <c r="G42" s="150">
        <f>+'[1]CONSOLIDADO CHIP'!H277</f>
        <v>184423</v>
      </c>
      <c r="H42" s="150">
        <v>345176</v>
      </c>
    </row>
    <row r="43" spans="1:8" s="148" customFormat="1" ht="12">
      <c r="A43" s="148">
        <v>1425</v>
      </c>
      <c r="B43" s="148" t="s">
        <v>2673</v>
      </c>
      <c r="C43" s="150">
        <f>+'[1]CONSOLIDADO CHIP'!H63</f>
        <v>209735802</v>
      </c>
      <c r="D43" s="150">
        <v>163300247</v>
      </c>
      <c r="E43" s="148">
        <v>2445</v>
      </c>
      <c r="F43" s="148" t="s">
        <v>2674</v>
      </c>
      <c r="G43" s="150">
        <v>0</v>
      </c>
      <c r="H43" s="150">
        <v>0</v>
      </c>
    </row>
    <row r="44" spans="1:8" s="148" customFormat="1" ht="12">
      <c r="A44" s="148">
        <v>1470</v>
      </c>
      <c r="B44" s="148" t="s">
        <v>3508</v>
      </c>
      <c r="C44" s="150">
        <f>+'[1]CONSOLIDADO CHIP'!H66</f>
        <v>5484339</v>
      </c>
      <c r="D44" s="150">
        <v>5451278</v>
      </c>
      <c r="E44" s="148">
        <v>2450</v>
      </c>
      <c r="F44" s="148" t="s">
        <v>2675</v>
      </c>
      <c r="G44" s="150">
        <v>0</v>
      </c>
      <c r="H44" s="150">
        <v>0</v>
      </c>
    </row>
    <row r="45" spans="1:8" s="148" customFormat="1" ht="12">
      <c r="A45" s="148">
        <v>1475</v>
      </c>
      <c r="B45" s="148" t="s">
        <v>2676</v>
      </c>
      <c r="C45" s="150">
        <v>0</v>
      </c>
      <c r="D45" s="150">
        <v>0</v>
      </c>
      <c r="E45" s="148">
        <v>2455</v>
      </c>
      <c r="F45" s="148" t="s">
        <v>2677</v>
      </c>
      <c r="G45" s="150">
        <f>+'[1]CONSOLIDADO CHIP'!H283</f>
        <v>54</v>
      </c>
      <c r="H45" s="150">
        <v>238701</v>
      </c>
    </row>
    <row r="46" spans="1:8" s="148" customFormat="1" ht="12">
      <c r="A46" s="148">
        <v>1480</v>
      </c>
      <c r="B46" s="148" t="s">
        <v>2678</v>
      </c>
      <c r="C46" s="150">
        <v>0</v>
      </c>
      <c r="D46" s="150">
        <v>-1831</v>
      </c>
      <c r="E46" s="148">
        <v>2460</v>
      </c>
      <c r="F46" s="148" t="s">
        <v>2679</v>
      </c>
      <c r="G46" s="150">
        <f>+'[1]CONSOLIDADO CHIP'!H286</f>
        <v>44229</v>
      </c>
      <c r="H46" s="150">
        <v>258552</v>
      </c>
    </row>
    <row r="47" spans="3:8" s="148" customFormat="1" ht="12">
      <c r="C47" s="150"/>
      <c r="D47" s="150"/>
      <c r="E47" s="148">
        <v>2465</v>
      </c>
      <c r="F47" s="148" t="s">
        <v>2680</v>
      </c>
      <c r="G47" s="150">
        <v>0</v>
      </c>
      <c r="H47" s="150">
        <v>0</v>
      </c>
    </row>
    <row r="48" spans="1:8" s="148" customFormat="1" ht="12">
      <c r="A48" s="148">
        <v>15</v>
      </c>
      <c r="B48" s="263" t="s">
        <v>1584</v>
      </c>
      <c r="C48" s="264">
        <f>SUM(C49:C56)</f>
        <v>0</v>
      </c>
      <c r="D48" s="264">
        <f>SUM(D49:D56)</f>
        <v>0</v>
      </c>
      <c r="E48" s="148">
        <v>2490</v>
      </c>
      <c r="F48" s="148" t="s">
        <v>2681</v>
      </c>
      <c r="G48" s="150">
        <v>0</v>
      </c>
      <c r="H48" s="150">
        <v>0</v>
      </c>
    </row>
    <row r="49" spans="1:8" s="148" customFormat="1" ht="12">
      <c r="A49" s="148">
        <v>1505</v>
      </c>
      <c r="B49" s="148" t="s">
        <v>2682</v>
      </c>
      <c r="C49" s="150">
        <v>0</v>
      </c>
      <c r="D49" s="150">
        <v>0</v>
      </c>
      <c r="G49" s="150"/>
      <c r="H49" s="150"/>
    </row>
    <row r="50" spans="1:8" s="148" customFormat="1" ht="12">
      <c r="A50" s="148">
        <v>1510</v>
      </c>
      <c r="B50" s="148" t="s">
        <v>2683</v>
      </c>
      <c r="C50" s="150">
        <v>0</v>
      </c>
      <c r="D50" s="150">
        <v>0</v>
      </c>
      <c r="E50" s="148">
        <v>25</v>
      </c>
      <c r="F50" s="263" t="s">
        <v>2684</v>
      </c>
      <c r="G50" s="264">
        <f>SUM(G52:G53)</f>
        <v>942083</v>
      </c>
      <c r="H50" s="264">
        <f>SUM(H52:H53)</f>
        <v>626351</v>
      </c>
    </row>
    <row r="51" spans="1:8" s="148" customFormat="1" ht="12">
      <c r="A51" s="148">
        <v>1515</v>
      </c>
      <c r="B51" s="148" t="s">
        <v>2685</v>
      </c>
      <c r="C51" s="150">
        <v>0</v>
      </c>
      <c r="D51" s="150">
        <v>0</v>
      </c>
      <c r="F51" s="263"/>
      <c r="G51" s="264"/>
      <c r="H51" s="264"/>
    </row>
    <row r="52" spans="1:8" s="148" customFormat="1" ht="12">
      <c r="A52" s="148">
        <v>1519</v>
      </c>
      <c r="B52" s="148" t="s">
        <v>2686</v>
      </c>
      <c r="C52" s="150">
        <v>0</v>
      </c>
      <c r="D52" s="150">
        <v>0</v>
      </c>
      <c r="E52" s="148">
        <v>2505</v>
      </c>
      <c r="F52" s="148" t="s">
        <v>2687</v>
      </c>
      <c r="G52" s="150">
        <f>+'[1]CONSOLIDADO CHIP'!H290</f>
        <v>942083</v>
      </c>
      <c r="H52" s="150">
        <v>626351</v>
      </c>
    </row>
    <row r="53" spans="1:8" s="148" customFormat="1" ht="12">
      <c r="A53" s="148">
        <v>1520</v>
      </c>
      <c r="B53" s="148" t="s">
        <v>2688</v>
      </c>
      <c r="C53" s="150">
        <v>0</v>
      </c>
      <c r="D53" s="150">
        <v>0</v>
      </c>
      <c r="E53" s="148">
        <v>2510</v>
      </c>
      <c r="F53" s="148" t="s">
        <v>2689</v>
      </c>
      <c r="G53" s="150">
        <v>0</v>
      </c>
      <c r="H53" s="150">
        <v>0</v>
      </c>
    </row>
    <row r="54" spans="1:8" s="148" customFormat="1" ht="12">
      <c r="A54" s="148">
        <v>1525</v>
      </c>
      <c r="B54" s="148" t="s">
        <v>2690</v>
      </c>
      <c r="C54" s="150">
        <v>0</v>
      </c>
      <c r="D54" s="150">
        <v>0</v>
      </c>
      <c r="G54" s="150"/>
      <c r="H54" s="150"/>
    </row>
    <row r="55" spans="1:8" s="148" customFormat="1" ht="12">
      <c r="A55" s="148">
        <v>1530</v>
      </c>
      <c r="B55" s="148" t="s">
        <v>2691</v>
      </c>
      <c r="C55" s="150">
        <v>0</v>
      </c>
      <c r="D55" s="150">
        <v>0</v>
      </c>
      <c r="E55" s="148">
        <v>26</v>
      </c>
      <c r="F55" s="263" t="s">
        <v>2692</v>
      </c>
      <c r="G55" s="264">
        <f>SUM(G57:G61)</f>
        <v>0</v>
      </c>
      <c r="H55" s="264">
        <f>SUM(H57:H61)</f>
        <v>0</v>
      </c>
    </row>
    <row r="56" spans="1:8" s="148" customFormat="1" ht="12">
      <c r="A56" s="148">
        <v>1580</v>
      </c>
      <c r="B56" s="148" t="s">
        <v>2693</v>
      </c>
      <c r="C56" s="150">
        <v>0</v>
      </c>
      <c r="D56" s="150">
        <v>0</v>
      </c>
      <c r="F56" s="263"/>
      <c r="G56" s="264"/>
      <c r="H56" s="264"/>
    </row>
    <row r="57" spans="3:8" s="148" customFormat="1" ht="12">
      <c r="C57" s="150"/>
      <c r="D57" s="150"/>
      <c r="E57" s="148">
        <v>2605</v>
      </c>
      <c r="F57" s="148" t="s">
        <v>2694</v>
      </c>
      <c r="G57" s="150">
        <v>0</v>
      </c>
      <c r="H57" s="150">
        <v>0</v>
      </c>
    </row>
    <row r="58" spans="3:8" s="148" customFormat="1" ht="12">
      <c r="C58" s="150"/>
      <c r="D58" s="150"/>
      <c r="E58" s="148">
        <v>2610</v>
      </c>
      <c r="F58" s="148" t="s">
        <v>2695</v>
      </c>
      <c r="G58" s="150">
        <v>0</v>
      </c>
      <c r="H58" s="150">
        <v>0</v>
      </c>
    </row>
    <row r="59" spans="1:8" s="148" customFormat="1" ht="12">
      <c r="A59" s="148">
        <v>19</v>
      </c>
      <c r="B59" s="263" t="s">
        <v>2696</v>
      </c>
      <c r="C59" s="264">
        <f>SUM(C60:C81)</f>
        <v>0</v>
      </c>
      <c r="D59" s="264">
        <f>SUM(D60:D81)</f>
        <v>0</v>
      </c>
      <c r="E59" s="148">
        <v>2615</v>
      </c>
      <c r="F59" s="148" t="s">
        <v>2697</v>
      </c>
      <c r="G59" s="150">
        <v>0</v>
      </c>
      <c r="H59" s="150">
        <v>0</v>
      </c>
    </row>
    <row r="60" spans="1:8" s="148" customFormat="1" ht="12">
      <c r="A60" s="148">
        <v>1905</v>
      </c>
      <c r="B60" s="148" t="s">
        <v>2698</v>
      </c>
      <c r="C60" s="150">
        <v>0</v>
      </c>
      <c r="D60" s="150"/>
      <c r="E60" s="148">
        <v>2620</v>
      </c>
      <c r="F60" s="148" t="s">
        <v>2699</v>
      </c>
      <c r="G60" s="150">
        <v>0</v>
      </c>
      <c r="H60" s="150">
        <v>0</v>
      </c>
    </row>
    <row r="61" spans="1:8" s="148" customFormat="1" ht="12">
      <c r="A61" s="148">
        <v>1910</v>
      </c>
      <c r="B61" s="148" t="s">
        <v>2700</v>
      </c>
      <c r="C61" s="150">
        <v>0</v>
      </c>
      <c r="D61" s="150"/>
      <c r="E61" s="148">
        <v>2690</v>
      </c>
      <c r="F61" s="148" t="s">
        <v>2701</v>
      </c>
      <c r="G61" s="150">
        <v>0</v>
      </c>
      <c r="H61" s="150">
        <v>0</v>
      </c>
    </row>
    <row r="62" spans="1:8" s="148" customFormat="1" ht="12">
      <c r="A62" s="148">
        <v>1911</v>
      </c>
      <c r="B62" s="148" t="s">
        <v>2702</v>
      </c>
      <c r="C62" s="150">
        <v>0</v>
      </c>
      <c r="D62" s="150"/>
      <c r="G62" s="150"/>
      <c r="H62" s="150"/>
    </row>
    <row r="63" spans="1:8" s="148" customFormat="1" ht="12">
      <c r="A63" s="148">
        <v>1915</v>
      </c>
      <c r="B63" s="148" t="s">
        <v>2703</v>
      </c>
      <c r="C63" s="150">
        <v>0</v>
      </c>
      <c r="D63" s="150">
        <v>0</v>
      </c>
      <c r="G63" s="150"/>
      <c r="H63" s="150"/>
    </row>
    <row r="64" spans="1:8" s="148" customFormat="1" ht="12">
      <c r="A64" s="148">
        <v>1920</v>
      </c>
      <c r="B64" s="148" t="s">
        <v>2704</v>
      </c>
      <c r="C64" s="150">
        <v>0</v>
      </c>
      <c r="D64" s="150">
        <v>0</v>
      </c>
      <c r="E64" s="148">
        <v>27</v>
      </c>
      <c r="F64" s="263" t="s">
        <v>2705</v>
      </c>
      <c r="G64" s="264">
        <f>SUM(G66:G71)</f>
        <v>0</v>
      </c>
      <c r="H64" s="264">
        <f>SUM(H66:H71)</f>
        <v>0</v>
      </c>
    </row>
    <row r="65" spans="1:8" s="148" customFormat="1" ht="12">
      <c r="A65" s="148">
        <v>1925</v>
      </c>
      <c r="B65" s="148" t="s">
        <v>2706</v>
      </c>
      <c r="C65" s="150">
        <v>0</v>
      </c>
      <c r="D65" s="150">
        <v>0</v>
      </c>
      <c r="F65" s="263"/>
      <c r="G65" s="264"/>
      <c r="H65" s="264"/>
    </row>
    <row r="66" spans="1:8" s="148" customFormat="1" ht="12">
      <c r="A66" s="148">
        <v>1926</v>
      </c>
      <c r="B66" s="148" t="s">
        <v>2707</v>
      </c>
      <c r="C66" s="150">
        <v>0</v>
      </c>
      <c r="D66" s="150">
        <v>0</v>
      </c>
      <c r="E66" s="148">
        <v>2705</v>
      </c>
      <c r="F66" s="148" t="s">
        <v>2708</v>
      </c>
      <c r="G66" s="150">
        <v>0</v>
      </c>
      <c r="H66" s="150">
        <v>0</v>
      </c>
    </row>
    <row r="67" spans="1:8" s="148" customFormat="1" ht="12">
      <c r="A67" s="148">
        <v>1930</v>
      </c>
      <c r="B67" s="148" t="s">
        <v>2709</v>
      </c>
      <c r="C67" s="150">
        <v>0</v>
      </c>
      <c r="D67" s="150">
        <v>0</v>
      </c>
      <c r="E67" s="148">
        <v>2710</v>
      </c>
      <c r="F67" s="148" t="s">
        <v>2710</v>
      </c>
      <c r="G67" s="150">
        <v>0</v>
      </c>
      <c r="H67" s="150">
        <v>0</v>
      </c>
    </row>
    <row r="68" spans="1:8" s="148" customFormat="1" ht="12">
      <c r="A68" s="148">
        <v>1935</v>
      </c>
      <c r="B68" s="148" t="s">
        <v>2711</v>
      </c>
      <c r="C68" s="150">
        <v>0</v>
      </c>
      <c r="D68" s="150">
        <v>0</v>
      </c>
      <c r="E68" s="148">
        <v>2715</v>
      </c>
      <c r="F68" s="148" t="s">
        <v>2712</v>
      </c>
      <c r="G68" s="150">
        <v>0</v>
      </c>
      <c r="H68" s="150">
        <v>0</v>
      </c>
    </row>
    <row r="69" spans="1:8" s="148" customFormat="1" ht="12">
      <c r="A69" s="148">
        <v>1940</v>
      </c>
      <c r="B69" s="148" t="s">
        <v>2713</v>
      </c>
      <c r="C69" s="150">
        <v>0</v>
      </c>
      <c r="D69" s="150">
        <v>0</v>
      </c>
      <c r="E69" s="148">
        <v>2720</v>
      </c>
      <c r="F69" s="148" t="s">
        <v>2714</v>
      </c>
      <c r="G69" s="150">
        <v>0</v>
      </c>
      <c r="H69" s="150">
        <v>0</v>
      </c>
    </row>
    <row r="70" spans="1:8" s="148" customFormat="1" ht="12">
      <c r="A70" s="148">
        <v>1941</v>
      </c>
      <c r="B70" s="148" t="s">
        <v>2715</v>
      </c>
      <c r="C70" s="150">
        <v>0</v>
      </c>
      <c r="D70" s="150">
        <v>0</v>
      </c>
      <c r="E70" s="148">
        <v>2725</v>
      </c>
      <c r="F70" s="148" t="s">
        <v>2716</v>
      </c>
      <c r="G70" s="150">
        <v>0</v>
      </c>
      <c r="H70" s="150">
        <v>0</v>
      </c>
    </row>
    <row r="71" spans="1:8" s="148" customFormat="1" ht="12">
      <c r="A71" s="148">
        <v>1942</v>
      </c>
      <c r="B71" s="148" t="s">
        <v>2717</v>
      </c>
      <c r="C71" s="150">
        <v>0</v>
      </c>
      <c r="D71" s="150">
        <v>0</v>
      </c>
      <c r="E71" s="148">
        <v>2790</v>
      </c>
      <c r="F71" s="148" t="s">
        <v>2718</v>
      </c>
      <c r="G71" s="150">
        <v>0</v>
      </c>
      <c r="H71" s="150">
        <v>0</v>
      </c>
    </row>
    <row r="72" spans="1:8" s="148" customFormat="1" ht="12">
      <c r="A72" s="148">
        <v>1943</v>
      </c>
      <c r="B72" s="148" t="s">
        <v>2719</v>
      </c>
      <c r="C72" s="150">
        <v>0</v>
      </c>
      <c r="D72" s="150">
        <v>0</v>
      </c>
      <c r="G72" s="150"/>
      <c r="H72" s="150"/>
    </row>
    <row r="73" spans="1:8" s="148" customFormat="1" ht="12">
      <c r="A73" s="148">
        <v>1945</v>
      </c>
      <c r="B73" s="148" t="s">
        <v>2720</v>
      </c>
      <c r="C73" s="150">
        <v>0</v>
      </c>
      <c r="D73" s="150">
        <v>0</v>
      </c>
      <c r="E73" s="148">
        <v>29</v>
      </c>
      <c r="F73" s="263" t="s">
        <v>2721</v>
      </c>
      <c r="G73" s="264">
        <f>SUM(G75:G79)</f>
        <v>198171</v>
      </c>
      <c r="H73" s="264">
        <f>SUM(H75:H79)</f>
        <v>1145978</v>
      </c>
    </row>
    <row r="74" spans="1:8" s="148" customFormat="1" ht="12">
      <c r="A74" s="148">
        <v>1950</v>
      </c>
      <c r="B74" s="148" t="s">
        <v>2722</v>
      </c>
      <c r="C74" s="150">
        <v>0</v>
      </c>
      <c r="D74" s="150">
        <v>0</v>
      </c>
      <c r="F74" s="263"/>
      <c r="G74" s="264"/>
      <c r="H74" s="264"/>
    </row>
    <row r="75" spans="1:8" s="148" customFormat="1" ht="12">
      <c r="A75" s="148">
        <v>1955</v>
      </c>
      <c r="B75" s="148" t="s">
        <v>2723</v>
      </c>
      <c r="C75" s="150">
        <v>0</v>
      </c>
      <c r="D75" s="150">
        <v>0</v>
      </c>
      <c r="E75" s="148">
        <v>2905</v>
      </c>
      <c r="F75" s="148" t="s">
        <v>2724</v>
      </c>
      <c r="G75" s="150">
        <v>0</v>
      </c>
      <c r="H75" s="150">
        <v>398</v>
      </c>
    </row>
    <row r="76" spans="1:8" s="148" customFormat="1" ht="12">
      <c r="A76" s="148">
        <v>1960</v>
      </c>
      <c r="B76" s="148" t="s">
        <v>2725</v>
      </c>
      <c r="C76" s="150">
        <v>0</v>
      </c>
      <c r="D76" s="150">
        <v>0</v>
      </c>
      <c r="E76" s="148">
        <v>2910</v>
      </c>
      <c r="F76" s="148" t="s">
        <v>2726</v>
      </c>
      <c r="G76" s="150">
        <f>+'[1]CONSOLIDADO CHIP'!H314</f>
        <v>198171</v>
      </c>
      <c r="H76" s="150">
        <v>1131741</v>
      </c>
    </row>
    <row r="77" spans="1:8" s="148" customFormat="1" ht="12">
      <c r="A77" s="148">
        <v>1965</v>
      </c>
      <c r="B77" s="148" t="s">
        <v>2727</v>
      </c>
      <c r="C77" s="150">
        <v>0</v>
      </c>
      <c r="D77" s="150">
        <v>0</v>
      </c>
      <c r="E77" s="148">
        <v>2915</v>
      </c>
      <c r="F77" s="148" t="s">
        <v>2728</v>
      </c>
      <c r="G77" s="150">
        <v>0</v>
      </c>
      <c r="H77" s="150">
        <v>0</v>
      </c>
    </row>
    <row r="78" spans="1:8" s="148" customFormat="1" ht="12">
      <c r="A78" s="148">
        <v>1970</v>
      </c>
      <c r="B78" s="148" t="s">
        <v>2506</v>
      </c>
      <c r="C78" s="150">
        <v>0</v>
      </c>
      <c r="D78" s="150">
        <v>0</v>
      </c>
      <c r="E78" s="148">
        <v>2920</v>
      </c>
      <c r="F78" s="148" t="s">
        <v>2729</v>
      </c>
      <c r="G78" s="150">
        <v>0</v>
      </c>
      <c r="H78" s="150">
        <v>0</v>
      </c>
    </row>
    <row r="79" spans="1:8" s="148" customFormat="1" ht="12">
      <c r="A79" s="148">
        <v>1975</v>
      </c>
      <c r="B79" s="148" t="s">
        <v>2730</v>
      </c>
      <c r="C79" s="150">
        <v>0</v>
      </c>
      <c r="D79" s="150">
        <v>0</v>
      </c>
      <c r="E79" s="148">
        <v>2996</v>
      </c>
      <c r="F79" s="148" t="s">
        <v>2731</v>
      </c>
      <c r="G79" s="150">
        <v>0</v>
      </c>
      <c r="H79" s="150">
        <v>13839</v>
      </c>
    </row>
    <row r="80" spans="1:8" s="148" customFormat="1" ht="12">
      <c r="A80" s="148">
        <v>1995</v>
      </c>
      <c r="B80" s="148" t="s">
        <v>2732</v>
      </c>
      <c r="C80" s="150">
        <f>+'[1]CONSOLIDADO CHIP'!H197</f>
        <v>0</v>
      </c>
      <c r="D80" s="150">
        <v>0</v>
      </c>
      <c r="G80" s="150"/>
      <c r="H80" s="150"/>
    </row>
    <row r="81" spans="1:8" s="148" customFormat="1" ht="12">
      <c r="A81" s="148">
        <v>1999</v>
      </c>
      <c r="B81" s="148" t="s">
        <v>2733</v>
      </c>
      <c r="C81" s="150">
        <v>0</v>
      </c>
      <c r="D81" s="150">
        <v>0</v>
      </c>
      <c r="G81" s="150"/>
      <c r="H81" s="150"/>
    </row>
    <row r="82" spans="3:8" s="148" customFormat="1" ht="12">
      <c r="C82" s="150"/>
      <c r="D82" s="150"/>
      <c r="G82" s="150"/>
      <c r="H82" s="150"/>
    </row>
    <row r="83" spans="2:8" s="148" customFormat="1" ht="12">
      <c r="B83" s="263" t="s">
        <v>2734</v>
      </c>
      <c r="C83" s="150"/>
      <c r="D83" s="150"/>
      <c r="G83" s="150"/>
      <c r="H83" s="150"/>
    </row>
    <row r="84" spans="2:8" s="148" customFormat="1" ht="12">
      <c r="B84" s="263" t="s">
        <v>2735</v>
      </c>
      <c r="C84" s="264">
        <v>0</v>
      </c>
      <c r="D84" s="264">
        <v>0</v>
      </c>
      <c r="G84" s="150"/>
      <c r="H84" s="150"/>
    </row>
    <row r="85" spans="3:8" s="148" customFormat="1" ht="12">
      <c r="C85" s="150"/>
      <c r="D85" s="150"/>
      <c r="G85" s="150"/>
      <c r="H85" s="150"/>
    </row>
    <row r="86" spans="3:8" s="148" customFormat="1" ht="12">
      <c r="C86" s="150"/>
      <c r="D86" s="150"/>
      <c r="F86" s="263" t="s">
        <v>2736</v>
      </c>
      <c r="G86" s="264">
        <f>G88+G94+G99+G117+G122+G130+G138</f>
        <v>0</v>
      </c>
      <c r="H86" s="264">
        <f>H88+H94+H99+H117+H122+H130+H138+H145</f>
        <v>0</v>
      </c>
    </row>
    <row r="87" spans="1:8" s="148" customFormat="1" ht="12">
      <c r="A87" s="150"/>
      <c r="B87" s="263" t="s">
        <v>2737</v>
      </c>
      <c r="C87" s="264">
        <f>C89+C97+C103+C116+C141+C149+C158</f>
        <v>181090581</v>
      </c>
      <c r="D87" s="264">
        <f>D89+D97+D103+D116+D141+D149+D158+D186</f>
        <v>148178770</v>
      </c>
      <c r="G87" s="150"/>
      <c r="H87" s="150"/>
    </row>
    <row r="88" spans="1:8" s="148" customFormat="1" ht="12">
      <c r="A88" s="150"/>
      <c r="B88" s="263"/>
      <c r="C88" s="150"/>
      <c r="D88" s="150"/>
      <c r="E88" s="148">
        <v>22</v>
      </c>
      <c r="F88" s="263" t="s">
        <v>2635</v>
      </c>
      <c r="G88" s="264">
        <f>SUM(G90:G91)</f>
        <v>0</v>
      </c>
      <c r="H88" s="264">
        <f>SUM(H90:H91)</f>
        <v>0</v>
      </c>
    </row>
    <row r="89" spans="1:8" s="148" customFormat="1" ht="12">
      <c r="A89" s="148">
        <v>12</v>
      </c>
      <c r="B89" s="263" t="s">
        <v>2636</v>
      </c>
      <c r="C89" s="264">
        <f>SUM(C91:C95)</f>
        <v>0</v>
      </c>
      <c r="D89" s="264">
        <f>SUM(D91:D95)</f>
        <v>49209</v>
      </c>
      <c r="F89" s="263"/>
      <c r="G89" s="150"/>
      <c r="H89" s="150"/>
    </row>
    <row r="90" spans="2:8" s="148" customFormat="1" ht="12">
      <c r="B90" s="263"/>
      <c r="C90" s="264"/>
      <c r="D90" s="264"/>
      <c r="E90" s="148">
        <v>2205</v>
      </c>
      <c r="F90" s="148" t="s">
        <v>2637</v>
      </c>
      <c r="G90" s="150">
        <v>0</v>
      </c>
      <c r="H90" s="150">
        <v>0</v>
      </c>
    </row>
    <row r="91" spans="1:8" s="148" customFormat="1" ht="12">
      <c r="A91" s="148">
        <v>1207</v>
      </c>
      <c r="B91" s="148" t="s">
        <v>2738</v>
      </c>
      <c r="C91" s="150">
        <v>0</v>
      </c>
      <c r="D91" s="150">
        <v>49209</v>
      </c>
      <c r="E91" s="148">
        <v>2210</v>
      </c>
      <c r="F91" s="148" t="s">
        <v>2739</v>
      </c>
      <c r="G91" s="150">
        <v>0</v>
      </c>
      <c r="H91" s="150">
        <v>0</v>
      </c>
    </row>
    <row r="92" spans="1:8" s="148" customFormat="1" ht="12">
      <c r="A92" s="148">
        <v>1208</v>
      </c>
      <c r="B92" s="148" t="s">
        <v>2740</v>
      </c>
      <c r="C92" s="150">
        <f>'[2]CGN96.001 '!E29</f>
        <v>0</v>
      </c>
      <c r="D92" s="150">
        <v>0</v>
      </c>
      <c r="G92" s="150"/>
      <c r="H92" s="150"/>
    </row>
    <row r="93" spans="1:8" s="148" customFormat="1" ht="12">
      <c r="A93" s="148">
        <v>1210</v>
      </c>
      <c r="B93" s="148" t="s">
        <v>2741</v>
      </c>
      <c r="C93" s="150">
        <v>0</v>
      </c>
      <c r="D93" s="150">
        <v>0</v>
      </c>
      <c r="G93" s="150"/>
      <c r="H93" s="150"/>
    </row>
    <row r="94" spans="1:8" s="148" customFormat="1" ht="12">
      <c r="A94" s="148">
        <v>1215</v>
      </c>
      <c r="B94" s="148" t="s">
        <v>2742</v>
      </c>
      <c r="C94" s="150">
        <v>0</v>
      </c>
      <c r="D94" s="150">
        <v>0</v>
      </c>
      <c r="E94" s="148">
        <v>23</v>
      </c>
      <c r="F94" s="263" t="s">
        <v>2642</v>
      </c>
      <c r="G94" s="264">
        <f>SUM(G96:G97)</f>
        <v>0</v>
      </c>
      <c r="H94" s="264">
        <f>SUM(H96:H97)</f>
        <v>0</v>
      </c>
    </row>
    <row r="95" spans="1:8" s="148" customFormat="1" ht="12">
      <c r="A95" s="148">
        <v>1280</v>
      </c>
      <c r="B95" s="148" t="s">
        <v>2743</v>
      </c>
      <c r="C95" s="150">
        <v>0</v>
      </c>
      <c r="D95" s="150">
        <v>0</v>
      </c>
      <c r="F95" s="263"/>
      <c r="G95" s="264"/>
      <c r="H95" s="264"/>
    </row>
    <row r="96" spans="3:8" s="148" customFormat="1" ht="12">
      <c r="C96" s="150"/>
      <c r="D96" s="150"/>
      <c r="E96" s="148">
        <v>2305</v>
      </c>
      <c r="F96" s="148" t="s">
        <v>2744</v>
      </c>
      <c r="G96" s="150">
        <v>0</v>
      </c>
      <c r="H96" s="150">
        <v>0</v>
      </c>
    </row>
    <row r="97" spans="1:8" s="148" customFormat="1" ht="12">
      <c r="A97" s="148">
        <v>13</v>
      </c>
      <c r="B97" s="263" t="s">
        <v>2647</v>
      </c>
      <c r="C97" s="264">
        <f>SUM(C99:C101)</f>
        <v>0</v>
      </c>
      <c r="D97" s="264">
        <f>SUM(D99:D101)</f>
        <v>0</v>
      </c>
      <c r="E97" s="148">
        <v>2310</v>
      </c>
      <c r="F97" s="148" t="s">
        <v>2646</v>
      </c>
      <c r="G97" s="150">
        <v>0</v>
      </c>
      <c r="H97" s="150">
        <v>0</v>
      </c>
    </row>
    <row r="98" spans="2:8" s="148" customFormat="1" ht="12">
      <c r="B98" s="263"/>
      <c r="C98" s="264"/>
      <c r="D98" s="264"/>
      <c r="G98" s="150"/>
      <c r="H98" s="150"/>
    </row>
    <row r="99" spans="1:8" s="148" customFormat="1" ht="12">
      <c r="A99" s="148">
        <v>1310</v>
      </c>
      <c r="B99" s="148" t="s">
        <v>2650</v>
      </c>
      <c r="C99" s="150">
        <v>0</v>
      </c>
      <c r="D99" s="150">
        <v>0</v>
      </c>
      <c r="E99" s="148">
        <v>24</v>
      </c>
      <c r="F99" s="263" t="s">
        <v>2649</v>
      </c>
      <c r="G99" s="264">
        <f>SUM(G101:G115)</f>
        <v>0</v>
      </c>
      <c r="H99" s="264">
        <f>SUM(H101:H115)</f>
        <v>0</v>
      </c>
    </row>
    <row r="100" spans="1:8" s="148" customFormat="1" ht="12">
      <c r="A100" s="148">
        <v>1315</v>
      </c>
      <c r="B100" s="148" t="s">
        <v>2651</v>
      </c>
      <c r="C100" s="150">
        <v>0</v>
      </c>
      <c r="D100" s="150">
        <v>0</v>
      </c>
      <c r="F100" s="263"/>
      <c r="G100" s="264"/>
      <c r="H100" s="264"/>
    </row>
    <row r="101" spans="1:8" s="148" customFormat="1" ht="12">
      <c r="A101" s="148">
        <v>1380</v>
      </c>
      <c r="B101" s="148" t="s">
        <v>2653</v>
      </c>
      <c r="C101" s="150">
        <v>0</v>
      </c>
      <c r="D101" s="150">
        <v>0</v>
      </c>
      <c r="E101" s="148">
        <v>2405</v>
      </c>
      <c r="F101" s="148" t="s">
        <v>2745</v>
      </c>
      <c r="G101" s="150">
        <v>0</v>
      </c>
      <c r="H101" s="150">
        <v>0</v>
      </c>
    </row>
    <row r="102" spans="3:8" s="148" customFormat="1" ht="12">
      <c r="C102" s="150"/>
      <c r="D102" s="150"/>
      <c r="E102" s="148">
        <v>2410</v>
      </c>
      <c r="F102" s="148" t="s">
        <v>2655</v>
      </c>
      <c r="G102" s="150">
        <v>0</v>
      </c>
      <c r="H102" s="150">
        <v>0</v>
      </c>
    </row>
    <row r="103" spans="1:8" s="148" customFormat="1" ht="12">
      <c r="A103" s="148">
        <v>14</v>
      </c>
      <c r="B103" s="263" t="s">
        <v>896</v>
      </c>
      <c r="C103" s="264">
        <f>SUM(C105:C114)</f>
        <v>0</v>
      </c>
      <c r="D103" s="264">
        <f>SUM(D105:D114)</f>
        <v>0</v>
      </c>
      <c r="E103" s="148">
        <v>2415</v>
      </c>
      <c r="F103" s="148" t="s">
        <v>2656</v>
      </c>
      <c r="G103" s="150">
        <v>0</v>
      </c>
      <c r="H103" s="150">
        <v>0</v>
      </c>
    </row>
    <row r="104" spans="2:8" s="148" customFormat="1" ht="12">
      <c r="B104" s="263"/>
      <c r="C104" s="264"/>
      <c r="D104" s="264"/>
      <c r="E104" s="148">
        <v>2420</v>
      </c>
      <c r="F104" s="148" t="s">
        <v>2658</v>
      </c>
      <c r="G104" s="150">
        <v>0</v>
      </c>
      <c r="H104" s="150">
        <v>0</v>
      </c>
    </row>
    <row r="105" spans="1:8" s="148" customFormat="1" ht="12">
      <c r="A105" s="148">
        <v>1405</v>
      </c>
      <c r="B105" s="148" t="s">
        <v>2746</v>
      </c>
      <c r="C105" s="150">
        <v>0</v>
      </c>
      <c r="D105" s="150">
        <v>0</v>
      </c>
      <c r="E105" s="148">
        <v>2425</v>
      </c>
      <c r="F105" s="148" t="s">
        <v>2662</v>
      </c>
      <c r="G105" s="150">
        <v>0</v>
      </c>
      <c r="H105" s="150">
        <v>0</v>
      </c>
    </row>
    <row r="106" spans="1:8" s="148" customFormat="1" ht="12">
      <c r="A106" s="148">
        <v>1410</v>
      </c>
      <c r="B106" s="148" t="s">
        <v>2747</v>
      </c>
      <c r="C106" s="150">
        <v>0</v>
      </c>
      <c r="D106" s="150">
        <v>0</v>
      </c>
      <c r="E106" s="148">
        <v>2430</v>
      </c>
      <c r="F106" s="148" t="s">
        <v>2748</v>
      </c>
      <c r="G106" s="150">
        <v>0</v>
      </c>
      <c r="H106" s="150">
        <v>0</v>
      </c>
    </row>
    <row r="107" spans="1:8" s="148" customFormat="1" ht="12">
      <c r="A107" s="148">
        <v>1413</v>
      </c>
      <c r="B107" s="148" t="s">
        <v>2665</v>
      </c>
      <c r="C107" s="150">
        <v>0</v>
      </c>
      <c r="D107" s="150"/>
      <c r="E107" s="148">
        <v>2436</v>
      </c>
      <c r="F107" s="148" t="s">
        <v>2749</v>
      </c>
      <c r="G107" s="150">
        <v>0</v>
      </c>
      <c r="H107" s="150">
        <v>0</v>
      </c>
    </row>
    <row r="108" spans="1:8" s="148" customFormat="1" ht="12">
      <c r="A108" s="148">
        <v>1415</v>
      </c>
      <c r="B108" s="148" t="s">
        <v>2667</v>
      </c>
      <c r="C108" s="150">
        <v>0</v>
      </c>
      <c r="D108" s="150">
        <v>0</v>
      </c>
      <c r="E108" s="148">
        <v>2437</v>
      </c>
      <c r="F108" s="148" t="s">
        <v>2666</v>
      </c>
      <c r="G108" s="150">
        <v>0</v>
      </c>
      <c r="H108" s="150">
        <v>0</v>
      </c>
    </row>
    <row r="109" spans="1:8" s="148" customFormat="1" ht="12">
      <c r="A109" s="148">
        <v>1420</v>
      </c>
      <c r="B109" s="148" t="s">
        <v>2669</v>
      </c>
      <c r="C109" s="150">
        <v>0</v>
      </c>
      <c r="D109" s="150">
        <v>0</v>
      </c>
      <c r="E109" s="148">
        <v>2440</v>
      </c>
      <c r="F109" s="148" t="s">
        <v>2750</v>
      </c>
      <c r="G109" s="150">
        <v>0</v>
      </c>
      <c r="H109" s="150">
        <v>0</v>
      </c>
    </row>
    <row r="110" spans="1:8" s="148" customFormat="1" ht="12">
      <c r="A110" s="148">
        <v>1422</v>
      </c>
      <c r="B110" s="148" t="s">
        <v>2751</v>
      </c>
      <c r="C110" s="150">
        <v>0</v>
      </c>
      <c r="D110" s="150">
        <v>0</v>
      </c>
      <c r="E110" s="148">
        <v>2445</v>
      </c>
      <c r="F110" s="148" t="s">
        <v>2674</v>
      </c>
      <c r="G110" s="150">
        <v>0</v>
      </c>
      <c r="H110" s="150">
        <v>0</v>
      </c>
    </row>
    <row r="111" spans="1:8" s="148" customFormat="1" ht="12">
      <c r="A111" s="148">
        <v>1425</v>
      </c>
      <c r="B111" s="148" t="s">
        <v>2673</v>
      </c>
      <c r="C111" s="150">
        <v>0</v>
      </c>
      <c r="D111" s="150">
        <v>0</v>
      </c>
      <c r="E111" s="148">
        <v>2450</v>
      </c>
      <c r="F111" s="148" t="s">
        <v>2675</v>
      </c>
      <c r="G111" s="150">
        <v>0</v>
      </c>
      <c r="H111" s="150">
        <v>0</v>
      </c>
    </row>
    <row r="112" spans="1:8" s="148" customFormat="1" ht="12">
      <c r="A112" s="148">
        <v>1470</v>
      </c>
      <c r="B112" s="148" t="s">
        <v>3508</v>
      </c>
      <c r="C112" s="150">
        <v>0</v>
      </c>
      <c r="D112" s="150">
        <v>0</v>
      </c>
      <c r="E112" s="148">
        <v>2455</v>
      </c>
      <c r="F112" s="148" t="s">
        <v>2752</v>
      </c>
      <c r="G112" s="150">
        <v>0</v>
      </c>
      <c r="H112" s="150">
        <v>0</v>
      </c>
    </row>
    <row r="113" spans="1:8" s="148" customFormat="1" ht="12">
      <c r="A113" s="148">
        <v>1475</v>
      </c>
      <c r="B113" s="148" t="s">
        <v>2676</v>
      </c>
      <c r="C113" s="150">
        <v>0</v>
      </c>
      <c r="D113" s="150">
        <v>0</v>
      </c>
      <c r="E113" s="148">
        <v>2460</v>
      </c>
      <c r="F113" s="148" t="s">
        <v>2679</v>
      </c>
      <c r="G113" s="150">
        <v>0</v>
      </c>
      <c r="H113" s="150">
        <v>0</v>
      </c>
    </row>
    <row r="114" spans="1:8" s="148" customFormat="1" ht="12">
      <c r="A114" s="148">
        <v>1480</v>
      </c>
      <c r="B114" s="148" t="s">
        <v>2678</v>
      </c>
      <c r="C114" s="150">
        <v>0</v>
      </c>
      <c r="D114" s="150">
        <v>0</v>
      </c>
      <c r="E114" s="148">
        <v>2465</v>
      </c>
      <c r="F114" s="148" t="s">
        <v>2680</v>
      </c>
      <c r="G114" s="150">
        <v>0</v>
      </c>
      <c r="H114" s="150">
        <v>0</v>
      </c>
    </row>
    <row r="115" spans="3:8" s="148" customFormat="1" ht="12">
      <c r="C115" s="150"/>
      <c r="D115" s="150"/>
      <c r="E115" s="148">
        <v>2490</v>
      </c>
      <c r="F115" s="148" t="s">
        <v>2681</v>
      </c>
      <c r="G115" s="150">
        <v>0</v>
      </c>
      <c r="H115" s="150">
        <v>0</v>
      </c>
    </row>
    <row r="116" spans="1:8" s="148" customFormat="1" ht="12">
      <c r="A116" s="148">
        <v>16</v>
      </c>
      <c r="B116" s="263" t="s">
        <v>2753</v>
      </c>
      <c r="C116" s="264">
        <f>SUM(C118:C139)</f>
        <v>11550448</v>
      </c>
      <c r="D116" s="264">
        <f>SUM(D118:D139)</f>
        <v>13884516</v>
      </c>
      <c r="G116" s="150"/>
      <c r="H116" s="150"/>
    </row>
    <row r="117" spans="2:8" s="148" customFormat="1" ht="12">
      <c r="B117" s="263"/>
      <c r="C117" s="264"/>
      <c r="D117" s="264"/>
      <c r="E117" s="148">
        <v>25</v>
      </c>
      <c r="F117" s="263" t="s">
        <v>2754</v>
      </c>
      <c r="G117" s="264">
        <f>SUM(G119:G120)</f>
        <v>0</v>
      </c>
      <c r="H117" s="264">
        <f>SUM(H119:H120)</f>
        <v>0</v>
      </c>
    </row>
    <row r="118" spans="1:8" s="148" customFormat="1" ht="12">
      <c r="A118" s="148">
        <v>1605</v>
      </c>
      <c r="B118" s="148" t="s">
        <v>902</v>
      </c>
      <c r="C118" s="150">
        <f>+'[1]CONSOLIDADO CHIP'!H79</f>
        <v>4442479</v>
      </c>
      <c r="D118" s="150">
        <v>5284997</v>
      </c>
      <c r="F118" s="263"/>
      <c r="G118" s="264"/>
      <c r="H118" s="264"/>
    </row>
    <row r="119" spans="1:8" s="148" customFormat="1" ht="12">
      <c r="A119" s="148">
        <v>1610</v>
      </c>
      <c r="B119" s="148" t="s">
        <v>2755</v>
      </c>
      <c r="C119" s="150">
        <v>0</v>
      </c>
      <c r="D119" s="150">
        <v>0</v>
      </c>
      <c r="E119" s="148">
        <v>2505</v>
      </c>
      <c r="F119" s="148" t="s">
        <v>2687</v>
      </c>
      <c r="G119" s="150">
        <v>0</v>
      </c>
      <c r="H119" s="150">
        <v>0</v>
      </c>
    </row>
    <row r="120" spans="1:8" s="148" customFormat="1" ht="12">
      <c r="A120" s="148">
        <v>1615</v>
      </c>
      <c r="B120" s="148" t="s">
        <v>2756</v>
      </c>
      <c r="C120" s="150">
        <f>+'[1]CONSOLIDADO CHIP'!H82</f>
        <v>1934332</v>
      </c>
      <c r="D120" s="150">
        <v>0</v>
      </c>
      <c r="E120" s="148">
        <v>2510</v>
      </c>
      <c r="F120" s="148" t="s">
        <v>2689</v>
      </c>
      <c r="G120" s="150">
        <v>0</v>
      </c>
      <c r="H120" s="150">
        <v>0</v>
      </c>
    </row>
    <row r="121" spans="1:8" s="148" customFormat="1" ht="12">
      <c r="A121" s="148">
        <v>1620</v>
      </c>
      <c r="B121" s="148" t="s">
        <v>2757</v>
      </c>
      <c r="C121" s="150">
        <v>0</v>
      </c>
      <c r="D121" s="150">
        <v>0</v>
      </c>
      <c r="G121" s="150"/>
      <c r="H121" s="150"/>
    </row>
    <row r="122" spans="1:8" s="148" customFormat="1" ht="12">
      <c r="A122" s="148">
        <v>1625</v>
      </c>
      <c r="B122" s="148" t="s">
        <v>2758</v>
      </c>
      <c r="C122" s="150">
        <v>0</v>
      </c>
      <c r="D122" s="150">
        <v>0</v>
      </c>
      <c r="E122" s="148">
        <v>26</v>
      </c>
      <c r="F122" s="263" t="s">
        <v>2692</v>
      </c>
      <c r="G122" s="264">
        <f>SUM(G124:G128)</f>
        <v>0</v>
      </c>
      <c r="H122" s="264">
        <f>SUM(H124:H128)</f>
        <v>0</v>
      </c>
    </row>
    <row r="123" spans="1:8" s="148" customFormat="1" ht="12">
      <c r="A123" s="148">
        <v>1630</v>
      </c>
      <c r="B123" s="148" t="s">
        <v>2759</v>
      </c>
      <c r="C123" s="150">
        <v>0</v>
      </c>
      <c r="D123" s="150">
        <v>0</v>
      </c>
      <c r="F123" s="263"/>
      <c r="G123" s="264"/>
      <c r="H123" s="264"/>
    </row>
    <row r="124" spans="1:8" s="148" customFormat="1" ht="12">
      <c r="A124" s="148">
        <v>1635</v>
      </c>
      <c r="B124" s="148" t="s">
        <v>2760</v>
      </c>
      <c r="C124" s="150">
        <f>+'[1]CONSOLIDADO CHIP'!H92</f>
        <v>1195155</v>
      </c>
      <c r="D124" s="150">
        <v>1267857</v>
      </c>
      <c r="E124" s="148">
        <v>2605</v>
      </c>
      <c r="F124" s="148" t="s">
        <v>2694</v>
      </c>
      <c r="G124" s="150">
        <v>0</v>
      </c>
      <c r="H124" s="150">
        <v>0</v>
      </c>
    </row>
    <row r="125" spans="1:8" s="148" customFormat="1" ht="12">
      <c r="A125" s="148">
        <v>1636</v>
      </c>
      <c r="B125" s="148" t="s">
        <v>2761</v>
      </c>
      <c r="C125" s="150">
        <v>0</v>
      </c>
      <c r="D125" s="150">
        <v>0</v>
      </c>
      <c r="E125" s="148">
        <v>2610</v>
      </c>
      <c r="F125" s="148" t="s">
        <v>2695</v>
      </c>
      <c r="G125" s="150">
        <v>0</v>
      </c>
      <c r="H125" s="150">
        <v>0</v>
      </c>
    </row>
    <row r="126" spans="1:8" s="148" customFormat="1" ht="12">
      <c r="A126" s="148">
        <v>1640</v>
      </c>
      <c r="B126" s="148" t="s">
        <v>840</v>
      </c>
      <c r="C126" s="150">
        <f>+'[1]CONSOLIDADO CHIP'!H100</f>
        <v>5070113</v>
      </c>
      <c r="D126" s="150">
        <v>6278553</v>
      </c>
      <c r="E126" s="148">
        <v>2615</v>
      </c>
      <c r="F126" s="148" t="s">
        <v>2697</v>
      </c>
      <c r="G126" s="150">
        <v>0</v>
      </c>
      <c r="H126" s="150">
        <v>0</v>
      </c>
    </row>
    <row r="127" spans="1:8" s="148" customFormat="1" ht="12">
      <c r="A127" s="148">
        <v>1643</v>
      </c>
      <c r="B127" s="148" t="s">
        <v>2762</v>
      </c>
      <c r="C127" s="150">
        <v>0</v>
      </c>
      <c r="D127" s="150">
        <v>0</v>
      </c>
      <c r="E127" s="148">
        <v>2620</v>
      </c>
      <c r="F127" s="148" t="s">
        <v>2763</v>
      </c>
      <c r="G127" s="150">
        <v>0</v>
      </c>
      <c r="H127" s="150">
        <v>0</v>
      </c>
    </row>
    <row r="128" spans="1:8" s="148" customFormat="1" ht="12">
      <c r="A128" s="148">
        <v>1645</v>
      </c>
      <c r="B128" s="148" t="s">
        <v>2764</v>
      </c>
      <c r="C128" s="150">
        <v>0</v>
      </c>
      <c r="D128" s="150">
        <v>0</v>
      </c>
      <c r="E128" s="148">
        <v>2690</v>
      </c>
      <c r="F128" s="148" t="s">
        <v>2701</v>
      </c>
      <c r="G128" s="150">
        <v>0</v>
      </c>
      <c r="H128" s="150">
        <v>0</v>
      </c>
    </row>
    <row r="129" spans="1:8" s="148" customFormat="1" ht="12">
      <c r="A129" s="148">
        <v>1650</v>
      </c>
      <c r="B129" s="148" t="s">
        <v>2765</v>
      </c>
      <c r="C129" s="150">
        <v>0</v>
      </c>
      <c r="D129" s="150">
        <v>0</v>
      </c>
      <c r="G129" s="150"/>
      <c r="H129" s="150"/>
    </row>
    <row r="130" spans="1:8" s="148" customFormat="1" ht="12">
      <c r="A130" s="148">
        <v>1655</v>
      </c>
      <c r="B130" s="148" t="s">
        <v>2766</v>
      </c>
      <c r="C130" s="150">
        <f>+'[1]CONSOLIDADO CHIP'!H104</f>
        <v>23319</v>
      </c>
      <c r="D130" s="150">
        <v>827824</v>
      </c>
      <c r="E130" s="148">
        <v>27</v>
      </c>
      <c r="F130" s="263" t="s">
        <v>2705</v>
      </c>
      <c r="G130" s="264">
        <f>SUM(G132:G136)</f>
        <v>0</v>
      </c>
      <c r="H130" s="264">
        <f>SUM(H132:H136)</f>
        <v>0</v>
      </c>
    </row>
    <row r="131" spans="1:8" s="148" customFormat="1" ht="12">
      <c r="A131" s="148">
        <v>1660</v>
      </c>
      <c r="B131" s="148" t="s">
        <v>1742</v>
      </c>
      <c r="C131" s="150">
        <v>0</v>
      </c>
      <c r="D131" s="150">
        <v>377496</v>
      </c>
      <c r="F131" s="263"/>
      <c r="G131" s="264"/>
      <c r="H131" s="264"/>
    </row>
    <row r="132" spans="1:8" s="148" customFormat="1" ht="12">
      <c r="A132" s="148">
        <v>1665</v>
      </c>
      <c r="B132" s="148" t="s">
        <v>2767</v>
      </c>
      <c r="C132" s="150">
        <f>+'[1]CONSOLIDADO CHIP'!H119</f>
        <v>1035188</v>
      </c>
      <c r="D132" s="150">
        <v>1827877</v>
      </c>
      <c r="E132" s="148">
        <v>2705</v>
      </c>
      <c r="F132" s="148" t="s">
        <v>2708</v>
      </c>
      <c r="G132" s="150">
        <v>0</v>
      </c>
      <c r="H132" s="150">
        <v>0</v>
      </c>
    </row>
    <row r="133" spans="1:8" s="148" customFormat="1" ht="12">
      <c r="A133" s="148">
        <v>1670</v>
      </c>
      <c r="B133" s="148" t="s">
        <v>2768</v>
      </c>
      <c r="C133" s="150">
        <f>+'[1]CONSOLIDADO CHIP'!H124</f>
        <v>2651035</v>
      </c>
      <c r="D133" s="150">
        <v>2752284</v>
      </c>
      <c r="E133" s="148">
        <v>2710</v>
      </c>
      <c r="F133" s="148" t="s">
        <v>2710</v>
      </c>
      <c r="G133" s="150">
        <v>0</v>
      </c>
      <c r="H133" s="150">
        <v>0</v>
      </c>
    </row>
    <row r="134" spans="1:8" s="148" customFormat="1" ht="12">
      <c r="A134" s="148">
        <v>1675</v>
      </c>
      <c r="B134" s="148" t="s">
        <v>2769</v>
      </c>
      <c r="C134" s="150">
        <f>+'[1]CONSOLIDADO CHIP'!H130</f>
        <v>471591</v>
      </c>
      <c r="D134" s="150">
        <v>527253</v>
      </c>
      <c r="E134" s="148">
        <v>2720</v>
      </c>
      <c r="F134" s="148" t="s">
        <v>2714</v>
      </c>
      <c r="G134" s="150">
        <v>0</v>
      </c>
      <c r="H134" s="150">
        <v>0</v>
      </c>
    </row>
    <row r="135" spans="1:8" s="148" customFormat="1" ht="12">
      <c r="A135" s="148">
        <v>1680</v>
      </c>
      <c r="B135" s="148" t="s">
        <v>2770</v>
      </c>
      <c r="C135" s="150">
        <f>+'[1]CONSOLIDADO CHIP'!H133</f>
        <v>8588</v>
      </c>
      <c r="D135" s="150">
        <v>56801</v>
      </c>
      <c r="E135" s="148">
        <v>2725</v>
      </c>
      <c r="F135" s="148" t="s">
        <v>2716</v>
      </c>
      <c r="G135" s="150">
        <v>0</v>
      </c>
      <c r="H135" s="150">
        <v>0</v>
      </c>
    </row>
    <row r="136" spans="1:8" s="148" customFormat="1" ht="12">
      <c r="A136" s="148">
        <v>1685</v>
      </c>
      <c r="B136" s="148" t="s">
        <v>2771</v>
      </c>
      <c r="C136" s="150">
        <f>+'[1]CONSOLIDADO CHIP'!H136</f>
        <v>-5281352</v>
      </c>
      <c r="D136" s="150">
        <v>-5316426</v>
      </c>
      <c r="E136" s="148">
        <v>2790</v>
      </c>
      <c r="F136" s="148" t="s">
        <v>2718</v>
      </c>
      <c r="G136" s="150">
        <v>0</v>
      </c>
      <c r="H136" s="150">
        <v>0</v>
      </c>
    </row>
    <row r="137" spans="1:8" s="148" customFormat="1" ht="12">
      <c r="A137" s="148">
        <v>1686</v>
      </c>
      <c r="B137" s="148" t="s">
        <v>2772</v>
      </c>
      <c r="C137" s="150">
        <v>0</v>
      </c>
      <c r="D137" s="150">
        <v>0</v>
      </c>
      <c r="G137" s="150"/>
      <c r="H137" s="150"/>
    </row>
    <row r="138" spans="1:8" s="148" customFormat="1" ht="12">
      <c r="A138" s="148">
        <v>1690</v>
      </c>
      <c r="B138" s="148" t="s">
        <v>2773</v>
      </c>
      <c r="C138" s="150">
        <v>0</v>
      </c>
      <c r="D138" s="150">
        <v>0</v>
      </c>
      <c r="E138" s="148">
        <v>29</v>
      </c>
      <c r="F138" s="263" t="s">
        <v>2721</v>
      </c>
      <c r="G138" s="264">
        <f>SUM(G140:G143)</f>
        <v>0</v>
      </c>
      <c r="H138" s="264">
        <f>SUM(H140:H143)</f>
        <v>0</v>
      </c>
    </row>
    <row r="139" spans="1:8" s="148" customFormat="1" ht="12">
      <c r="A139" s="148">
        <v>1695</v>
      </c>
      <c r="B139" s="148" t="s">
        <v>2774</v>
      </c>
      <c r="C139" s="150">
        <v>0</v>
      </c>
      <c r="D139" s="150">
        <v>0</v>
      </c>
      <c r="F139" s="263"/>
      <c r="G139" s="264"/>
      <c r="H139" s="264"/>
    </row>
    <row r="140" spans="3:8" s="148" customFormat="1" ht="12">
      <c r="C140" s="150"/>
      <c r="D140" s="150"/>
      <c r="E140" s="148">
        <v>2905</v>
      </c>
      <c r="F140" s="148" t="s">
        <v>2724</v>
      </c>
      <c r="G140" s="150">
        <v>0</v>
      </c>
      <c r="H140" s="150">
        <v>0</v>
      </c>
    </row>
    <row r="141" spans="1:8" s="148" customFormat="1" ht="12">
      <c r="A141" s="148">
        <v>17</v>
      </c>
      <c r="B141" s="263" t="s">
        <v>2775</v>
      </c>
      <c r="C141" s="264">
        <f>SUM(C143:C147)</f>
        <v>0</v>
      </c>
      <c r="D141" s="264">
        <f>SUM(D143:D147)</f>
        <v>0</v>
      </c>
      <c r="E141" s="148">
        <v>2910</v>
      </c>
      <c r="F141" s="148" t="s">
        <v>2726</v>
      </c>
      <c r="G141" s="150"/>
      <c r="H141" s="150">
        <v>0</v>
      </c>
    </row>
    <row r="142" spans="2:8" s="148" customFormat="1" ht="12">
      <c r="B142" s="263"/>
      <c r="C142" s="264"/>
      <c r="D142" s="264"/>
      <c r="E142" s="148">
        <v>2915</v>
      </c>
      <c r="F142" s="148" t="s">
        <v>2728</v>
      </c>
      <c r="G142" s="150">
        <v>0</v>
      </c>
      <c r="H142" s="150">
        <v>0</v>
      </c>
    </row>
    <row r="143" spans="1:8" s="148" customFormat="1" ht="12">
      <c r="A143" s="148">
        <v>1704</v>
      </c>
      <c r="B143" s="148" t="s">
        <v>2776</v>
      </c>
      <c r="C143" s="150">
        <v>0</v>
      </c>
      <c r="D143" s="150">
        <v>0</v>
      </c>
      <c r="E143" s="148">
        <v>2920</v>
      </c>
      <c r="F143" s="148" t="s">
        <v>2729</v>
      </c>
      <c r="G143" s="150">
        <v>0</v>
      </c>
      <c r="H143" s="150">
        <v>0</v>
      </c>
    </row>
    <row r="144" spans="1:8" s="148" customFormat="1" ht="12">
      <c r="A144" s="148">
        <v>1705</v>
      </c>
      <c r="B144" s="148" t="s">
        <v>2777</v>
      </c>
      <c r="C144" s="150">
        <v>0</v>
      </c>
      <c r="D144" s="150">
        <v>0</v>
      </c>
      <c r="G144" s="150"/>
      <c r="H144" s="150"/>
    </row>
    <row r="145" spans="1:8" s="148" customFormat="1" ht="12">
      <c r="A145" s="148">
        <v>1710</v>
      </c>
      <c r="B145" s="148" t="s">
        <v>2778</v>
      </c>
      <c r="C145" s="150">
        <v>0</v>
      </c>
      <c r="D145" s="150">
        <v>0</v>
      </c>
      <c r="F145" s="263"/>
      <c r="G145" s="264"/>
      <c r="H145" s="264"/>
    </row>
    <row r="146" spans="1:8" s="148" customFormat="1" ht="12">
      <c r="A146" s="148">
        <v>1715</v>
      </c>
      <c r="B146" s="148" t="s">
        <v>2779</v>
      </c>
      <c r="C146" s="150">
        <v>0</v>
      </c>
      <c r="D146" s="150">
        <v>0</v>
      </c>
      <c r="F146" s="263" t="s">
        <v>2780</v>
      </c>
      <c r="G146" s="264">
        <f>+G138+G130+G122+G117+G99+G94+G88+G73+G64+G55+G50+G29+G24+G19+G13</f>
        <v>790280015</v>
      </c>
      <c r="H146" s="264">
        <f>+H138+H130+H122+H117+H99+H94+H88+H73+H64+H55+H50+H29+H24+H19+H13</f>
        <v>749203520</v>
      </c>
    </row>
    <row r="147" spans="1:8" s="148" customFormat="1" ht="12">
      <c r="A147" s="148">
        <v>1785</v>
      </c>
      <c r="B147" s="148" t="s">
        <v>2781</v>
      </c>
      <c r="C147" s="150">
        <v>0</v>
      </c>
      <c r="D147" s="150">
        <v>0</v>
      </c>
      <c r="G147" s="150"/>
      <c r="H147" s="150"/>
    </row>
    <row r="148" spans="3:8" s="148" customFormat="1" ht="12">
      <c r="C148" s="150"/>
      <c r="D148" s="150"/>
      <c r="G148" s="150"/>
      <c r="H148" s="150"/>
    </row>
    <row r="149" spans="1:8" s="148" customFormat="1" ht="12">
      <c r="A149" s="148">
        <v>18</v>
      </c>
      <c r="B149" s="263" t="s">
        <v>2782</v>
      </c>
      <c r="C149" s="264">
        <f>SUM(C151:C156)</f>
        <v>0</v>
      </c>
      <c r="D149" s="264">
        <f>SUM(D151:D156)</f>
        <v>0</v>
      </c>
      <c r="G149" s="150"/>
      <c r="H149" s="150"/>
    </row>
    <row r="150" spans="2:8" s="148" customFormat="1" ht="12">
      <c r="B150" s="263"/>
      <c r="C150" s="264"/>
      <c r="D150" s="264"/>
      <c r="E150" s="148">
        <v>3</v>
      </c>
      <c r="F150" s="263" t="s">
        <v>2783</v>
      </c>
      <c r="G150" s="264">
        <f>G152</f>
        <v>-122106291</v>
      </c>
      <c r="H150" s="264">
        <f>H152+H164</f>
        <v>-20204395</v>
      </c>
    </row>
    <row r="151" spans="1:8" s="148" customFormat="1" ht="12">
      <c r="A151" s="148">
        <v>1805</v>
      </c>
      <c r="B151" s="148" t="s">
        <v>2784</v>
      </c>
      <c r="C151" s="150">
        <v>0</v>
      </c>
      <c r="D151" s="150">
        <v>0</v>
      </c>
      <c r="G151" s="150"/>
      <c r="H151" s="150"/>
    </row>
    <row r="152" spans="1:8" s="148" customFormat="1" ht="12">
      <c r="A152" s="148">
        <v>1810</v>
      </c>
      <c r="B152" s="148" t="s">
        <v>2785</v>
      </c>
      <c r="C152" s="150">
        <v>0</v>
      </c>
      <c r="D152" s="150">
        <v>0</v>
      </c>
      <c r="E152" s="148">
        <v>31</v>
      </c>
      <c r="F152" s="263" t="s">
        <v>2786</v>
      </c>
      <c r="G152" s="264">
        <f>SUM(G154:G162)</f>
        <v>-122106291</v>
      </c>
      <c r="H152" s="264">
        <f>SUM(H154:H162)</f>
        <v>-20204395</v>
      </c>
    </row>
    <row r="153" spans="1:8" s="148" customFormat="1" ht="12">
      <c r="A153" s="148">
        <v>1815</v>
      </c>
      <c r="B153" s="148" t="s">
        <v>2787</v>
      </c>
      <c r="C153" s="150">
        <v>0</v>
      </c>
      <c r="D153" s="150">
        <v>0</v>
      </c>
      <c r="F153" s="263"/>
      <c r="G153" s="264"/>
      <c r="H153" s="264"/>
    </row>
    <row r="154" spans="1:8" s="148" customFormat="1" ht="12">
      <c r="A154" s="148">
        <v>1820</v>
      </c>
      <c r="B154" s="148" t="s">
        <v>2788</v>
      </c>
      <c r="C154" s="150">
        <v>0</v>
      </c>
      <c r="D154" s="150">
        <v>0</v>
      </c>
      <c r="E154" s="148">
        <v>3105</v>
      </c>
      <c r="F154" s="148" t="s">
        <v>2789</v>
      </c>
      <c r="G154" s="150">
        <f>+'[1]CONSOLIDADO CHIP'!H321</f>
        <v>-63548199</v>
      </c>
      <c r="H154" s="150">
        <v>-400927577</v>
      </c>
    </row>
    <row r="155" spans="1:8" s="148" customFormat="1" ht="12">
      <c r="A155" s="148">
        <v>1825</v>
      </c>
      <c r="B155" s="148" t="s">
        <v>2790</v>
      </c>
      <c r="C155" s="150">
        <v>0</v>
      </c>
      <c r="D155" s="150">
        <v>0</v>
      </c>
      <c r="E155" s="148">
        <v>3110</v>
      </c>
      <c r="F155" s="148" t="s">
        <v>2791</v>
      </c>
      <c r="G155" s="150">
        <f>+'[1]CONSOLIDADO CHIP'!H323</f>
        <v>-88928398</v>
      </c>
      <c r="H155" s="150">
        <v>349330778</v>
      </c>
    </row>
    <row r="156" spans="1:8" s="148" customFormat="1" ht="12">
      <c r="A156" s="148">
        <v>1830</v>
      </c>
      <c r="B156" s="148" t="s">
        <v>2792</v>
      </c>
      <c r="C156" s="150">
        <v>0</v>
      </c>
      <c r="D156" s="150">
        <v>0</v>
      </c>
      <c r="E156" s="148">
        <v>3115</v>
      </c>
      <c r="F156" s="148" t="s">
        <v>2793</v>
      </c>
      <c r="G156" s="150">
        <f>+'[1]CONSOLIDADO CHIP'!H327</f>
        <v>3161888</v>
      </c>
      <c r="H156" s="150">
        <v>3372604</v>
      </c>
    </row>
    <row r="157" spans="1:8" s="148" customFormat="1" ht="12">
      <c r="A157" s="263"/>
      <c r="B157" s="263"/>
      <c r="C157" s="264"/>
      <c r="D157" s="264"/>
      <c r="E157" s="148">
        <v>3117</v>
      </c>
      <c r="F157" s="148" t="s">
        <v>2794</v>
      </c>
      <c r="G157" s="150">
        <v>0</v>
      </c>
      <c r="H157" s="150">
        <v>0</v>
      </c>
    </row>
    <row r="158" spans="1:8" s="148" customFormat="1" ht="12">
      <c r="A158" s="148">
        <v>19</v>
      </c>
      <c r="B158" s="263" t="s">
        <v>2696</v>
      </c>
      <c r="C158" s="264">
        <f>SUM(C160:C182)</f>
        <v>169540133</v>
      </c>
      <c r="D158" s="264">
        <f>SUM(D160:D182)</f>
        <v>134245045</v>
      </c>
      <c r="E158" s="148">
        <v>3120</v>
      </c>
      <c r="F158" s="148" t="s">
        <v>2795</v>
      </c>
      <c r="G158" s="150">
        <f>+'[1]CONSOLIDADO CHIP'!H338</f>
        <v>879893</v>
      </c>
      <c r="H158" s="150">
        <v>879893</v>
      </c>
    </row>
    <row r="159" spans="2:8" s="148" customFormat="1" ht="12">
      <c r="B159" s="263"/>
      <c r="C159" s="264"/>
      <c r="D159" s="264"/>
      <c r="E159" s="148">
        <v>3125</v>
      </c>
      <c r="F159" s="148" t="s">
        <v>2796</v>
      </c>
      <c r="G159" s="150">
        <f>+'[1]CONSOLIDADO CHIP'!H341</f>
        <v>26328525</v>
      </c>
      <c r="H159" s="150">
        <v>27133234</v>
      </c>
    </row>
    <row r="160" spans="1:8" s="148" customFormat="1" ht="12">
      <c r="A160" s="148">
        <v>1905</v>
      </c>
      <c r="B160" s="148" t="s">
        <v>2698</v>
      </c>
      <c r="C160" s="150">
        <f>+'[1]CONSOLIDADO CHIP'!H146</f>
        <v>49003</v>
      </c>
      <c r="D160" s="150">
        <v>81136</v>
      </c>
      <c r="E160" s="148">
        <v>3130</v>
      </c>
      <c r="F160" s="148" t="s">
        <v>2797</v>
      </c>
      <c r="G160" s="150">
        <v>0</v>
      </c>
      <c r="H160" s="150">
        <v>0</v>
      </c>
    </row>
    <row r="161" spans="1:8" s="148" customFormat="1" ht="12">
      <c r="A161" s="148">
        <v>1910</v>
      </c>
      <c r="B161" s="148" t="s">
        <v>2700</v>
      </c>
      <c r="C161" s="150">
        <f>+'[1]CONSOLIDADO CHIP'!H153</f>
        <v>78388</v>
      </c>
      <c r="D161" s="150">
        <v>956451</v>
      </c>
      <c r="E161" s="148">
        <v>3135</v>
      </c>
      <c r="F161" s="148" t="s">
        <v>868</v>
      </c>
      <c r="G161" s="150">
        <v>0</v>
      </c>
      <c r="H161" s="150">
        <v>0</v>
      </c>
    </row>
    <row r="162" spans="1:8" s="148" customFormat="1" ht="12">
      <c r="A162" s="148">
        <v>1911</v>
      </c>
      <c r="B162" s="148" t="s">
        <v>2798</v>
      </c>
      <c r="C162" s="150">
        <f>+'[1]CONSOLIDADO CHIP'!H165</f>
        <v>157513342</v>
      </c>
      <c r="D162" s="150">
        <v>118780549</v>
      </c>
      <c r="E162" s="148">
        <v>3138</v>
      </c>
      <c r="F162" s="148" t="s">
        <v>2799</v>
      </c>
      <c r="G162" s="150">
        <v>0</v>
      </c>
      <c r="H162" s="150">
        <v>6673</v>
      </c>
    </row>
    <row r="163" spans="1:8" s="148" customFormat="1" ht="12">
      <c r="A163" s="148">
        <v>1915</v>
      </c>
      <c r="B163" s="148" t="s">
        <v>2703</v>
      </c>
      <c r="C163" s="150">
        <v>0</v>
      </c>
      <c r="D163" s="150">
        <v>0</v>
      </c>
      <c r="G163" s="150"/>
      <c r="H163" s="150"/>
    </row>
    <row r="164" spans="1:8" s="148" customFormat="1" ht="12">
      <c r="A164" s="148">
        <v>1920</v>
      </c>
      <c r="B164" s="148" t="s">
        <v>2704</v>
      </c>
      <c r="C164" s="150">
        <f>+'[1]CONSOLIDADO CHIP'!H167</f>
        <v>8428335</v>
      </c>
      <c r="D164" s="150">
        <v>7726767</v>
      </c>
      <c r="E164" s="148">
        <v>32</v>
      </c>
      <c r="F164" s="263" t="s">
        <v>2800</v>
      </c>
      <c r="G164" s="264">
        <f>SUM(G166:G177)</f>
        <v>0</v>
      </c>
      <c r="H164" s="264">
        <f>SUM(H166:H177)</f>
        <v>0</v>
      </c>
    </row>
    <row r="165" spans="1:8" s="148" customFormat="1" ht="12">
      <c r="A165" s="148">
        <v>1925</v>
      </c>
      <c r="B165" s="148" t="s">
        <v>2801</v>
      </c>
      <c r="C165" s="150">
        <f>+'[1]CONSOLIDADO CHIP'!H171</f>
        <v>-10006</v>
      </c>
      <c r="D165" s="150">
        <v>-10006</v>
      </c>
      <c r="F165" s="263"/>
      <c r="G165" s="264"/>
      <c r="H165" s="264"/>
    </row>
    <row r="166" spans="1:8" s="148" customFormat="1" ht="12">
      <c r="A166" s="148">
        <v>1926</v>
      </c>
      <c r="B166" s="148" t="s">
        <v>2707</v>
      </c>
      <c r="C166" s="150">
        <v>0</v>
      </c>
      <c r="D166" s="150">
        <v>0</v>
      </c>
      <c r="E166" s="148">
        <v>3205</v>
      </c>
      <c r="F166" s="148" t="s">
        <v>2802</v>
      </c>
      <c r="G166" s="150">
        <v>0</v>
      </c>
      <c r="H166" s="150">
        <v>0</v>
      </c>
    </row>
    <row r="167" spans="1:8" s="148" customFormat="1" ht="12">
      <c r="A167" s="148">
        <v>1930</v>
      </c>
      <c r="B167" s="148" t="s">
        <v>2709</v>
      </c>
      <c r="C167" s="150">
        <v>0</v>
      </c>
      <c r="D167" s="150">
        <v>0</v>
      </c>
      <c r="E167" s="148">
        <v>3208</v>
      </c>
      <c r="F167" s="148" t="s">
        <v>2789</v>
      </c>
      <c r="G167" s="150">
        <v>0</v>
      </c>
      <c r="H167" s="150">
        <v>0</v>
      </c>
    </row>
    <row r="168" spans="1:8" s="148" customFormat="1" ht="12">
      <c r="A168" s="148">
        <v>1935</v>
      </c>
      <c r="B168" s="148" t="s">
        <v>2803</v>
      </c>
      <c r="C168" s="150">
        <v>0</v>
      </c>
      <c r="D168" s="150">
        <v>0</v>
      </c>
      <c r="E168" s="148">
        <v>3210</v>
      </c>
      <c r="F168" s="148" t="s">
        <v>2804</v>
      </c>
      <c r="G168" s="150">
        <v>0</v>
      </c>
      <c r="H168" s="150">
        <v>0</v>
      </c>
    </row>
    <row r="169" spans="1:8" s="148" customFormat="1" ht="12">
      <c r="A169" s="148">
        <v>1940</v>
      </c>
      <c r="B169" s="148" t="s">
        <v>2713</v>
      </c>
      <c r="C169" s="150">
        <v>0</v>
      </c>
      <c r="D169" s="150">
        <v>0</v>
      </c>
      <c r="E169" s="148">
        <v>3215</v>
      </c>
      <c r="F169" s="148" t="s">
        <v>2805</v>
      </c>
      <c r="G169" s="150">
        <v>0</v>
      </c>
      <c r="H169" s="150">
        <v>0</v>
      </c>
    </row>
    <row r="170" spans="1:8" s="148" customFormat="1" ht="12">
      <c r="A170" s="148">
        <v>1941</v>
      </c>
      <c r="B170" s="148" t="s">
        <v>2715</v>
      </c>
      <c r="C170" s="150">
        <v>0</v>
      </c>
      <c r="D170" s="150">
        <v>0</v>
      </c>
      <c r="E170" s="148">
        <v>3220</v>
      </c>
      <c r="F170" s="148" t="s">
        <v>2806</v>
      </c>
      <c r="G170" s="150">
        <v>0</v>
      </c>
      <c r="H170" s="150">
        <v>0</v>
      </c>
    </row>
    <row r="171" spans="1:8" s="148" customFormat="1" ht="12">
      <c r="A171" s="148">
        <v>1942</v>
      </c>
      <c r="B171" s="148" t="s">
        <v>2807</v>
      </c>
      <c r="C171" s="150">
        <v>0</v>
      </c>
      <c r="D171" s="150">
        <v>0</v>
      </c>
      <c r="E171" s="148">
        <v>3225</v>
      </c>
      <c r="F171" s="148" t="s">
        <v>2808</v>
      </c>
      <c r="G171" s="150">
        <v>0</v>
      </c>
      <c r="H171" s="150">
        <v>0</v>
      </c>
    </row>
    <row r="172" spans="1:8" s="148" customFormat="1" ht="12">
      <c r="A172" s="148">
        <v>1943</v>
      </c>
      <c r="B172" s="148" t="s">
        <v>2809</v>
      </c>
      <c r="C172" s="150">
        <v>0</v>
      </c>
      <c r="D172" s="150">
        <v>0</v>
      </c>
      <c r="E172" s="148">
        <v>3230</v>
      </c>
      <c r="F172" s="148" t="s">
        <v>2791</v>
      </c>
      <c r="G172" s="150">
        <v>0</v>
      </c>
      <c r="H172" s="150">
        <v>0</v>
      </c>
    </row>
    <row r="173" spans="1:8" s="148" customFormat="1" ht="12">
      <c r="A173" s="148">
        <v>1945</v>
      </c>
      <c r="B173" s="148" t="s">
        <v>2720</v>
      </c>
      <c r="C173" s="150">
        <v>0</v>
      </c>
      <c r="D173" s="150">
        <v>0</v>
      </c>
      <c r="E173" s="148">
        <v>3235</v>
      </c>
      <c r="F173" s="148" t="s">
        <v>2795</v>
      </c>
      <c r="G173" s="150">
        <v>0</v>
      </c>
      <c r="H173" s="150">
        <v>0</v>
      </c>
    </row>
    <row r="174" spans="1:8" s="148" customFormat="1" ht="12">
      <c r="A174" s="148">
        <v>1950</v>
      </c>
      <c r="B174" s="148" t="s">
        <v>2722</v>
      </c>
      <c r="C174" s="150">
        <f>+'[1]CONSOLIDADO CHIP'!H176</f>
        <v>36026</v>
      </c>
      <c r="D174" s="150">
        <v>36026</v>
      </c>
      <c r="E174" s="148">
        <v>3240</v>
      </c>
      <c r="F174" s="148" t="s">
        <v>2810</v>
      </c>
      <c r="G174" s="150">
        <v>0</v>
      </c>
      <c r="H174" s="150">
        <v>0</v>
      </c>
    </row>
    <row r="175" spans="1:8" s="148" customFormat="1" ht="12">
      <c r="A175" s="148">
        <v>1955</v>
      </c>
      <c r="B175" s="148" t="s">
        <v>2723</v>
      </c>
      <c r="C175" s="150">
        <f>+'[1]CONSOLIDADO CHIP'!H180</f>
        <v>-36026</v>
      </c>
      <c r="D175" s="150">
        <v>-36026</v>
      </c>
      <c r="E175" s="148">
        <v>3245</v>
      </c>
      <c r="F175" s="148" t="s">
        <v>2811</v>
      </c>
      <c r="G175" s="150">
        <v>0</v>
      </c>
      <c r="H175" s="150">
        <v>0</v>
      </c>
    </row>
    <row r="176" spans="1:8" s="148" customFormat="1" ht="12">
      <c r="A176" s="148">
        <v>1960</v>
      </c>
      <c r="B176" s="148" t="s">
        <v>2725</v>
      </c>
      <c r="C176" s="150">
        <v>0</v>
      </c>
      <c r="D176" s="150">
        <v>0</v>
      </c>
      <c r="E176" s="148">
        <v>3250</v>
      </c>
      <c r="F176" s="148" t="s">
        <v>868</v>
      </c>
      <c r="G176" s="150">
        <v>0</v>
      </c>
      <c r="H176" s="150">
        <v>0</v>
      </c>
    </row>
    <row r="177" spans="1:8" s="148" customFormat="1" ht="12">
      <c r="A177" s="148">
        <v>1965</v>
      </c>
      <c r="B177" s="148" t="s">
        <v>2727</v>
      </c>
      <c r="C177" s="150">
        <v>0</v>
      </c>
      <c r="D177" s="150">
        <v>0</v>
      </c>
      <c r="E177" s="148">
        <v>3255</v>
      </c>
      <c r="F177" s="148" t="s">
        <v>2812</v>
      </c>
      <c r="G177" s="150">
        <v>0</v>
      </c>
      <c r="H177" s="150">
        <v>0</v>
      </c>
    </row>
    <row r="178" spans="1:8" s="148" customFormat="1" ht="12">
      <c r="A178" s="148">
        <v>1970</v>
      </c>
      <c r="B178" s="148" t="s">
        <v>2506</v>
      </c>
      <c r="C178" s="150">
        <f>+'[1]CONSOLIDADO CHIP'!H189</f>
        <v>8159894</v>
      </c>
      <c r="D178" s="150">
        <v>8168130</v>
      </c>
      <c r="G178" s="150"/>
      <c r="H178" s="150"/>
    </row>
    <row r="179" spans="1:8" s="148" customFormat="1" ht="12">
      <c r="A179" s="148">
        <v>1975</v>
      </c>
      <c r="B179" s="148" t="s">
        <v>2730</v>
      </c>
      <c r="C179" s="150">
        <f>+'[1]CONSOLIDADO CHIP'!H193</f>
        <v>-7840711</v>
      </c>
      <c r="D179" s="150">
        <v>-7447663</v>
      </c>
      <c r="G179" s="150"/>
      <c r="H179" s="150"/>
    </row>
    <row r="180" spans="1:8" s="148" customFormat="1" ht="12">
      <c r="A180" s="148">
        <v>1995</v>
      </c>
      <c r="B180" s="148" t="s">
        <v>2732</v>
      </c>
      <c r="C180" s="150">
        <v>0</v>
      </c>
      <c r="D180" s="150">
        <v>2016288</v>
      </c>
      <c r="G180" s="150"/>
      <c r="H180" s="150"/>
    </row>
    <row r="181" spans="1:8" s="148" customFormat="1" ht="12">
      <c r="A181" s="148">
        <v>1996</v>
      </c>
      <c r="B181" s="148" t="s">
        <v>2813</v>
      </c>
      <c r="C181" s="150">
        <v>0</v>
      </c>
      <c r="D181" s="150">
        <v>600789</v>
      </c>
      <c r="G181" s="150"/>
      <c r="H181" s="150"/>
    </row>
    <row r="182" spans="1:8" s="148" customFormat="1" ht="12">
      <c r="A182" s="148">
        <v>1999</v>
      </c>
      <c r="B182" s="148" t="s">
        <v>2733</v>
      </c>
      <c r="C182" s="150">
        <f>+'[1]CONSOLIDADO CHIP'!H214</f>
        <v>3161888</v>
      </c>
      <c r="D182" s="150">
        <v>3372604</v>
      </c>
      <c r="G182" s="150"/>
      <c r="H182" s="150"/>
    </row>
    <row r="183" spans="3:8" s="148" customFormat="1" ht="12">
      <c r="C183" s="150"/>
      <c r="D183" s="150"/>
      <c r="G183" s="150"/>
      <c r="H183" s="150"/>
    </row>
    <row r="184" spans="3:8" s="148" customFormat="1" ht="12">
      <c r="C184" s="150"/>
      <c r="D184" s="150"/>
      <c r="G184" s="150"/>
      <c r="H184" s="150"/>
    </row>
    <row r="185" spans="2:8" s="148" customFormat="1" ht="12">
      <c r="B185" s="263" t="s">
        <v>2734</v>
      </c>
      <c r="C185" s="150"/>
      <c r="D185" s="150"/>
      <c r="G185" s="150"/>
      <c r="H185" s="150"/>
    </row>
    <row r="186" spans="2:8" s="148" customFormat="1" ht="12">
      <c r="B186" s="263" t="s">
        <v>2814</v>
      </c>
      <c r="C186" s="264">
        <v>0</v>
      </c>
      <c r="D186" s="264">
        <v>0</v>
      </c>
      <c r="G186" s="150"/>
      <c r="H186" s="150"/>
    </row>
    <row r="187" spans="3:8" s="148" customFormat="1" ht="12">
      <c r="C187" s="150"/>
      <c r="D187" s="150"/>
      <c r="G187" s="150"/>
      <c r="H187" s="150"/>
    </row>
    <row r="188" spans="2:8" s="148" customFormat="1" ht="12">
      <c r="B188" s="263" t="s">
        <v>2815</v>
      </c>
      <c r="C188" s="264">
        <f>C11+C87</f>
        <v>668173724</v>
      </c>
      <c r="D188" s="264">
        <f>+D11+D87</f>
        <v>728999125</v>
      </c>
      <c r="F188" s="263" t="s">
        <v>2816</v>
      </c>
      <c r="G188" s="264">
        <f>+G150+G146</f>
        <v>668173724</v>
      </c>
      <c r="H188" s="264">
        <f>H11+H86+H150</f>
        <v>728999125</v>
      </c>
    </row>
    <row r="189" spans="3:8" s="148" customFormat="1" ht="12">
      <c r="C189" s="150"/>
      <c r="D189" s="150"/>
      <c r="G189" s="264"/>
      <c r="H189" s="264"/>
    </row>
    <row r="190" spans="2:8" s="148" customFormat="1" ht="12">
      <c r="B190" s="263" t="s">
        <v>2817</v>
      </c>
      <c r="C190" s="264">
        <f>SUM(C192:C196)</f>
        <v>0</v>
      </c>
      <c r="D190" s="264">
        <f>SUM(D192:D196)</f>
        <v>0</v>
      </c>
      <c r="F190" s="263" t="s">
        <v>2818</v>
      </c>
      <c r="G190" s="264">
        <f>SUM(G191:G196)</f>
        <v>0</v>
      </c>
      <c r="H190" s="264">
        <f>SUM(H192:H196)</f>
        <v>0</v>
      </c>
    </row>
    <row r="191" spans="2:8" s="148" customFormat="1" ht="12">
      <c r="B191" s="263"/>
      <c r="C191" s="264"/>
      <c r="D191" s="264"/>
      <c r="G191" s="150"/>
      <c r="H191" s="150"/>
    </row>
    <row r="192" spans="1:8" s="148" customFormat="1" ht="12">
      <c r="A192" s="148">
        <v>81</v>
      </c>
      <c r="B192" s="148" t="s">
        <v>2819</v>
      </c>
      <c r="C192" s="150">
        <v>0</v>
      </c>
      <c r="D192" s="150">
        <v>0</v>
      </c>
      <c r="E192" s="148">
        <v>91</v>
      </c>
      <c r="F192" s="148" t="s">
        <v>2820</v>
      </c>
      <c r="G192" s="150">
        <f>+'[1]CONSOLIDADO CHIP'!H694</f>
        <v>2456598190</v>
      </c>
      <c r="H192" s="150">
        <v>2191921421</v>
      </c>
    </row>
    <row r="193" spans="1:8" s="148" customFormat="1" ht="12">
      <c r="A193" s="148">
        <v>82</v>
      </c>
      <c r="B193" s="148" t="s">
        <v>2821</v>
      </c>
      <c r="C193" s="150">
        <v>0</v>
      </c>
      <c r="D193" s="150">
        <v>0</v>
      </c>
      <c r="E193" s="148">
        <v>92</v>
      </c>
      <c r="F193" s="148" t="s">
        <v>2822</v>
      </c>
      <c r="G193" s="150">
        <v>0</v>
      </c>
      <c r="H193" s="150">
        <v>0</v>
      </c>
    </row>
    <row r="194" spans="1:8" s="148" customFormat="1" ht="12">
      <c r="A194" s="148">
        <v>83</v>
      </c>
      <c r="B194" s="148" t="s">
        <v>2823</v>
      </c>
      <c r="C194" s="150">
        <f>+'[1]CONSOLIDADO CHIP'!H675</f>
        <v>14929858</v>
      </c>
      <c r="D194" s="150">
        <v>14272308</v>
      </c>
      <c r="E194" s="148">
        <v>93</v>
      </c>
      <c r="F194" s="148" t="s">
        <v>2824</v>
      </c>
      <c r="G194" s="150">
        <f>+'[1]CONSOLIDADO CHIP'!H701</f>
        <v>890755</v>
      </c>
      <c r="H194" s="150">
        <v>889755</v>
      </c>
    </row>
    <row r="195" spans="1:8" s="148" customFormat="1" ht="12">
      <c r="A195" s="148">
        <v>84</v>
      </c>
      <c r="B195" s="148" t="s">
        <v>2825</v>
      </c>
      <c r="C195" s="150">
        <v>0</v>
      </c>
      <c r="D195" s="150">
        <v>0</v>
      </c>
      <c r="E195" s="148">
        <v>94</v>
      </c>
      <c r="F195" s="148" t="s">
        <v>2826</v>
      </c>
      <c r="G195" s="150">
        <v>0</v>
      </c>
      <c r="H195" s="150">
        <v>0</v>
      </c>
    </row>
    <row r="196" spans="1:8" s="148" customFormat="1" ht="12">
      <c r="A196" s="148">
        <v>89</v>
      </c>
      <c r="B196" s="148" t="s">
        <v>2827</v>
      </c>
      <c r="C196" s="150">
        <f>+'[1]CONSOLIDADO CHIP'!H687</f>
        <v>-14929858</v>
      </c>
      <c r="D196" s="150">
        <v>-14272308</v>
      </c>
      <c r="E196" s="148">
        <v>99</v>
      </c>
      <c r="F196" s="148" t="s">
        <v>2828</v>
      </c>
      <c r="G196" s="150">
        <f>+'[1]CONSOLIDADO CHIP'!H709</f>
        <v>-2457488945</v>
      </c>
      <c r="H196" s="150">
        <v>-2192811176</v>
      </c>
    </row>
    <row r="197" spans="3:8" s="148" customFormat="1" ht="12">
      <c r="C197" s="150"/>
      <c r="D197" s="150"/>
      <c r="G197" s="150"/>
      <c r="H197" s="150"/>
    </row>
    <row r="198" spans="1:8" s="148" customFormat="1" ht="12">
      <c r="A198" s="148" t="s">
        <v>2829</v>
      </c>
      <c r="B198" s="148" t="s">
        <v>2829</v>
      </c>
      <c r="C198" s="150"/>
      <c r="D198" s="150"/>
      <c r="G198" s="150"/>
      <c r="H198" s="150"/>
    </row>
    <row r="199" spans="2:8" s="148" customFormat="1" ht="12">
      <c r="B199" s="263"/>
      <c r="C199" s="264"/>
      <c r="D199" s="264"/>
      <c r="G199" s="150"/>
      <c r="H199" s="150"/>
    </row>
    <row r="200" spans="3:8" s="148" customFormat="1" ht="12">
      <c r="C200" s="150"/>
      <c r="D200" s="150"/>
      <c r="G200" s="150"/>
      <c r="H200" s="150"/>
    </row>
    <row r="201" spans="3:8" s="148" customFormat="1" ht="12">
      <c r="C201" s="150"/>
      <c r="D201" s="150"/>
      <c r="G201" s="150"/>
      <c r="H201" s="150"/>
    </row>
    <row r="202" spans="3:8" s="148" customFormat="1" ht="12">
      <c r="C202" s="150"/>
      <c r="D202" s="150"/>
      <c r="F202" s="263" t="s">
        <v>2829</v>
      </c>
      <c r="G202" s="150"/>
      <c r="H202" s="150"/>
    </row>
    <row r="203" spans="2:8" s="148" customFormat="1" ht="12">
      <c r="B203" s="263" t="s">
        <v>2829</v>
      </c>
      <c r="C203" s="150"/>
      <c r="D203" s="150"/>
      <c r="F203" s="148" t="s">
        <v>2829</v>
      </c>
      <c r="G203" s="150"/>
      <c r="H203" s="150"/>
    </row>
    <row r="204" spans="2:8" s="148" customFormat="1" ht="12.75" customHeight="1">
      <c r="B204" s="303" t="s">
        <v>2609</v>
      </c>
      <c r="C204" s="303"/>
      <c r="D204" s="303"/>
      <c r="E204" s="303"/>
      <c r="F204" s="286" t="s">
        <v>2610</v>
      </c>
      <c r="G204" s="286"/>
      <c r="H204" s="286"/>
    </row>
    <row r="205" spans="2:8" s="148" customFormat="1" ht="12.75" customHeight="1">
      <c r="B205" s="301" t="s">
        <v>2611</v>
      </c>
      <c r="C205" s="301"/>
      <c r="D205" s="301"/>
      <c r="E205" s="301"/>
      <c r="F205" s="287" t="s">
        <v>2612</v>
      </c>
      <c r="G205" s="287"/>
      <c r="H205" s="287"/>
    </row>
    <row r="206" spans="2:5" s="148" customFormat="1" ht="12">
      <c r="B206" s="150"/>
      <c r="C206" s="150"/>
      <c r="D206" s="150"/>
      <c r="E206" s="263"/>
    </row>
    <row r="207" spans="2:5" s="148" customFormat="1" ht="12">
      <c r="B207" s="150"/>
      <c r="C207" s="150"/>
      <c r="D207" s="150"/>
      <c r="E207" s="263"/>
    </row>
    <row r="208" spans="2:8" s="148" customFormat="1" ht="12">
      <c r="B208" s="263" t="s">
        <v>2829</v>
      </c>
      <c r="C208" s="150"/>
      <c r="D208" s="264"/>
      <c r="G208" s="148" t="s">
        <v>2829</v>
      </c>
      <c r="H208" s="148" t="s">
        <v>2829</v>
      </c>
    </row>
    <row r="209" spans="2:4" s="148" customFormat="1" ht="12">
      <c r="B209" s="263"/>
      <c r="C209" s="150"/>
      <c r="D209" s="264"/>
    </row>
    <row r="210" spans="2:8" s="148" customFormat="1" ht="12">
      <c r="B210" s="263"/>
      <c r="C210" s="150"/>
      <c r="D210" s="150"/>
      <c r="G210" s="150"/>
      <c r="H210" s="150"/>
    </row>
    <row r="211" spans="2:8" s="148" customFormat="1" ht="12">
      <c r="B211" s="263"/>
      <c r="C211" s="150"/>
      <c r="D211" s="150"/>
      <c r="G211" s="150"/>
      <c r="H211" s="150"/>
    </row>
    <row r="212" spans="2:8" s="148" customFormat="1" ht="12.75" customHeight="1">
      <c r="B212" s="286" t="s">
        <v>2613</v>
      </c>
      <c r="C212" s="286"/>
      <c r="D212" s="286"/>
      <c r="E212" s="286"/>
      <c r="G212" s="150"/>
      <c r="H212" s="150"/>
    </row>
    <row r="213" spans="2:8" s="148" customFormat="1" ht="12.75" customHeight="1">
      <c r="B213" s="287" t="s">
        <v>2614</v>
      </c>
      <c r="C213" s="287"/>
      <c r="D213" s="287"/>
      <c r="E213" s="287"/>
      <c r="G213" s="150"/>
      <c r="H213" s="150"/>
    </row>
    <row r="214" spans="2:8" s="148" customFormat="1" ht="12.75" customHeight="1">
      <c r="B214" s="287" t="s">
        <v>2615</v>
      </c>
      <c r="C214" s="287"/>
      <c r="D214" s="287"/>
      <c r="E214" s="287"/>
      <c r="G214" s="150"/>
      <c r="H214" s="150"/>
    </row>
    <row r="215" spans="3:8" s="148" customFormat="1" ht="12">
      <c r="C215" s="150"/>
      <c r="D215" s="150"/>
      <c r="G215" s="150"/>
      <c r="H215" s="150"/>
    </row>
    <row r="216" spans="3:8" s="148" customFormat="1" ht="12">
      <c r="C216" s="150"/>
      <c r="D216" s="150"/>
      <c r="G216" s="150"/>
      <c r="H216" s="150"/>
    </row>
    <row r="217" spans="3:8" s="148" customFormat="1" ht="12">
      <c r="C217" s="150"/>
      <c r="D217" s="150"/>
      <c r="G217" s="150"/>
      <c r="H217" s="150"/>
    </row>
    <row r="218" spans="3:8" s="148" customFormat="1" ht="12">
      <c r="C218" s="150"/>
      <c r="D218" s="150"/>
      <c r="G218" s="150"/>
      <c r="H218" s="150"/>
    </row>
    <row r="219" spans="3:8" s="148" customFormat="1" ht="12">
      <c r="C219" s="150"/>
      <c r="D219" s="150"/>
      <c r="G219" s="150"/>
      <c r="H219" s="150"/>
    </row>
    <row r="220" spans="3:8" s="148" customFormat="1" ht="12">
      <c r="C220" s="150"/>
      <c r="D220" s="150"/>
      <c r="G220" s="150"/>
      <c r="H220" s="150"/>
    </row>
    <row r="221" spans="3:8" s="148" customFormat="1" ht="12">
      <c r="C221" s="150"/>
      <c r="D221" s="150"/>
      <c r="G221" s="150"/>
      <c r="H221" s="150"/>
    </row>
    <row r="222" spans="3:8" s="148" customFormat="1" ht="12">
      <c r="C222" s="150"/>
      <c r="D222" s="150"/>
      <c r="G222" s="150"/>
      <c r="H222" s="150"/>
    </row>
    <row r="223" spans="3:8" s="148" customFormat="1" ht="12">
      <c r="C223" s="150"/>
      <c r="D223" s="150"/>
      <c r="G223" s="150"/>
      <c r="H223" s="150"/>
    </row>
    <row r="224" spans="3:8" s="148" customFormat="1" ht="12">
      <c r="C224" s="150"/>
      <c r="D224" s="150"/>
      <c r="G224" s="150"/>
      <c r="H224" s="150"/>
    </row>
    <row r="225" spans="3:8" s="148" customFormat="1" ht="12">
      <c r="C225" s="150"/>
      <c r="D225" s="150"/>
      <c r="G225" s="150"/>
      <c r="H225" s="150"/>
    </row>
    <row r="226" spans="3:8" s="148" customFormat="1" ht="12">
      <c r="C226" s="150"/>
      <c r="D226" s="150"/>
      <c r="G226" s="150"/>
      <c r="H226" s="150"/>
    </row>
    <row r="227" spans="3:8" s="148" customFormat="1" ht="12">
      <c r="C227" s="150"/>
      <c r="D227" s="150"/>
      <c r="G227" s="150"/>
      <c r="H227" s="150"/>
    </row>
    <row r="228" spans="3:8" s="148" customFormat="1" ht="12">
      <c r="C228" s="150"/>
      <c r="D228" s="150"/>
      <c r="G228" s="150"/>
      <c r="H228" s="150"/>
    </row>
    <row r="229" spans="3:8" s="148" customFormat="1" ht="12">
      <c r="C229" s="150"/>
      <c r="D229" s="150"/>
      <c r="G229" s="150"/>
      <c r="H229" s="150"/>
    </row>
    <row r="230" spans="3:8" s="148" customFormat="1" ht="12">
      <c r="C230" s="150"/>
      <c r="D230" s="150"/>
      <c r="G230" s="150"/>
      <c r="H230" s="150"/>
    </row>
    <row r="231" spans="3:8" s="148" customFormat="1" ht="12">
      <c r="C231" s="150"/>
      <c r="D231" s="150"/>
      <c r="G231" s="150"/>
      <c r="H231" s="150"/>
    </row>
    <row r="232" spans="3:8" s="148" customFormat="1" ht="12">
      <c r="C232" s="150"/>
      <c r="D232" s="150"/>
      <c r="G232" s="150"/>
      <c r="H232" s="150"/>
    </row>
    <row r="233" spans="3:8" s="148" customFormat="1" ht="12">
      <c r="C233" s="150"/>
      <c r="D233" s="150"/>
      <c r="G233" s="150"/>
      <c r="H233" s="150"/>
    </row>
    <row r="234" spans="3:8" s="148" customFormat="1" ht="12">
      <c r="C234" s="150"/>
      <c r="D234" s="150"/>
      <c r="G234" s="150"/>
      <c r="H234" s="150"/>
    </row>
    <row r="235" spans="3:8" s="148" customFormat="1" ht="12">
      <c r="C235" s="150"/>
      <c r="D235" s="150"/>
      <c r="G235" s="150"/>
      <c r="H235" s="150"/>
    </row>
    <row r="236" spans="3:8" s="148" customFormat="1" ht="12">
      <c r="C236" s="150"/>
      <c r="D236" s="150"/>
      <c r="G236" s="150"/>
      <c r="H236" s="150"/>
    </row>
    <row r="237" spans="3:8" s="148" customFormat="1" ht="12">
      <c r="C237" s="150"/>
      <c r="D237" s="150"/>
      <c r="G237" s="150"/>
      <c r="H237" s="150"/>
    </row>
    <row r="238" spans="3:8" s="148" customFormat="1" ht="12">
      <c r="C238" s="150"/>
      <c r="D238" s="150"/>
      <c r="G238" s="150"/>
      <c r="H238" s="150"/>
    </row>
    <row r="239" spans="3:8" s="148" customFormat="1" ht="12">
      <c r="C239" s="150"/>
      <c r="D239" s="150"/>
      <c r="G239" s="150"/>
      <c r="H239" s="150"/>
    </row>
    <row r="240" spans="3:8" s="148" customFormat="1" ht="12">
      <c r="C240" s="150"/>
      <c r="D240" s="150"/>
      <c r="G240" s="150"/>
      <c r="H240" s="150"/>
    </row>
  </sheetData>
  <sheetProtection password="8D25" sheet="1" formatCells="0" formatColumns="0" formatRows="0" insertColumns="0" insertRows="0" insertHyperlinks="0" deleteColumns="0" deleteRows="0" sort="0" autoFilter="0" pivotTables="0"/>
  <mergeCells count="11">
    <mergeCell ref="B212:E212"/>
    <mergeCell ref="B213:E213"/>
    <mergeCell ref="B214:E214"/>
    <mergeCell ref="B204:E204"/>
    <mergeCell ref="F204:H204"/>
    <mergeCell ref="B205:E205"/>
    <mergeCell ref="F205:H205"/>
    <mergeCell ref="A1:H1"/>
    <mergeCell ref="A2:H2"/>
    <mergeCell ref="A4:H4"/>
    <mergeCell ref="A5:H5"/>
  </mergeCells>
  <printOptions/>
  <pageMargins left="0.75" right="0.75" top="1" bottom="1" header="0" footer="0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62"/>
  <sheetViews>
    <sheetView workbookViewId="0" topLeftCell="A1">
      <selection activeCell="C28" sqref="C28"/>
    </sheetView>
  </sheetViews>
  <sheetFormatPr defaultColWidth="11.421875" defaultRowHeight="12.75"/>
  <cols>
    <col min="1" max="1" width="7.140625" style="54" customWidth="1"/>
    <col min="2" max="2" width="37.57421875" style="54" customWidth="1"/>
    <col min="3" max="4" width="11.140625" style="61" bestFit="1" customWidth="1"/>
    <col min="5" max="5" width="7.28125" style="54" customWidth="1"/>
    <col min="6" max="6" width="33.57421875" style="54" customWidth="1"/>
    <col min="7" max="8" width="13.28125" style="61" bestFit="1" customWidth="1"/>
    <col min="9" max="16384" width="11.421875" style="54" customWidth="1"/>
  </cols>
  <sheetData>
    <row r="1" spans="1:8" ht="12">
      <c r="A1" s="304" t="s">
        <v>2616</v>
      </c>
      <c r="B1" s="304"/>
      <c r="C1" s="304"/>
      <c r="D1" s="304"/>
      <c r="E1" s="304"/>
      <c r="F1" s="304"/>
      <c r="G1" s="304"/>
      <c r="H1" s="304"/>
    </row>
    <row r="2" spans="1:8" ht="12">
      <c r="A2" s="304" t="s">
        <v>2617</v>
      </c>
      <c r="B2" s="304"/>
      <c r="C2" s="304"/>
      <c r="D2" s="304"/>
      <c r="E2" s="304"/>
      <c r="F2" s="304"/>
      <c r="G2" s="304"/>
      <c r="H2" s="304"/>
    </row>
    <row r="3" spans="1:8" ht="12">
      <c r="A3" s="304" t="s">
        <v>2618</v>
      </c>
      <c r="B3" s="304"/>
      <c r="C3" s="304"/>
      <c r="D3" s="304"/>
      <c r="E3" s="304"/>
      <c r="F3" s="304"/>
      <c r="G3" s="304"/>
      <c r="H3" s="304"/>
    </row>
    <row r="4" spans="1:8" ht="12">
      <c r="A4" s="304" t="s">
        <v>2619</v>
      </c>
      <c r="B4" s="304"/>
      <c r="C4" s="304"/>
      <c r="D4" s="304"/>
      <c r="E4" s="304"/>
      <c r="F4" s="304"/>
      <c r="G4" s="304"/>
      <c r="H4" s="304"/>
    </row>
    <row r="5" spans="1:8" ht="12">
      <c r="A5" s="304" t="s">
        <v>2620</v>
      </c>
      <c r="B5" s="304"/>
      <c r="C5" s="304"/>
      <c r="D5" s="304"/>
      <c r="E5" s="304"/>
      <c r="F5" s="304"/>
      <c r="G5" s="304"/>
      <c r="H5" s="304"/>
    </row>
    <row r="6" spans="1:8" ht="12.75" customHeight="1">
      <c r="A6" s="55"/>
      <c r="B6" s="55"/>
      <c r="C6" s="56">
        <v>2006</v>
      </c>
      <c r="D6" s="56">
        <v>2005</v>
      </c>
      <c r="E6" s="55"/>
      <c r="F6" s="55"/>
      <c r="G6" s="56">
        <v>2006</v>
      </c>
      <c r="H6" s="56">
        <v>2005</v>
      </c>
    </row>
    <row r="7" spans="1:8" ht="12">
      <c r="A7" s="55"/>
      <c r="B7" s="55"/>
      <c r="C7" s="56" t="s">
        <v>2621</v>
      </c>
      <c r="D7" s="56" t="s">
        <v>2621</v>
      </c>
      <c r="E7" s="55"/>
      <c r="F7" s="55"/>
      <c r="G7" s="56" t="s">
        <v>2621</v>
      </c>
      <c r="H7" s="56" t="s">
        <v>2621</v>
      </c>
    </row>
    <row r="8" spans="1:8" ht="12">
      <c r="A8" s="55" t="s">
        <v>2622</v>
      </c>
      <c r="B8" s="55" t="s">
        <v>3443</v>
      </c>
      <c r="C8" s="56" t="s">
        <v>2623</v>
      </c>
      <c r="D8" s="56" t="s">
        <v>2623</v>
      </c>
      <c r="E8" s="55" t="s">
        <v>2622</v>
      </c>
      <c r="F8" s="55" t="s">
        <v>908</v>
      </c>
      <c r="G8" s="56" t="s">
        <v>2623</v>
      </c>
      <c r="H8" s="56" t="s">
        <v>2623</v>
      </c>
    </row>
    <row r="9" spans="1:8" ht="12">
      <c r="A9" s="55"/>
      <c r="B9" s="55"/>
      <c r="C9" s="56" t="s">
        <v>2624</v>
      </c>
      <c r="D9" s="56" t="s">
        <v>2624</v>
      </c>
      <c r="E9" s="55"/>
      <c r="F9" s="55"/>
      <c r="G9" s="56" t="s">
        <v>2624</v>
      </c>
      <c r="H9" s="56" t="s">
        <v>2624</v>
      </c>
    </row>
    <row r="10" spans="1:8" ht="12">
      <c r="A10" s="57"/>
      <c r="B10" s="57"/>
      <c r="C10" s="58"/>
      <c r="D10" s="58"/>
      <c r="E10" s="57"/>
      <c r="F10" s="57"/>
      <c r="G10" s="58"/>
      <c r="H10" s="58"/>
    </row>
    <row r="11" spans="1:8" ht="12">
      <c r="A11" s="59"/>
      <c r="B11" s="59" t="s">
        <v>2625</v>
      </c>
      <c r="C11" s="60">
        <f>SUM(C12:C17)</f>
        <v>487083143</v>
      </c>
      <c r="D11" s="60">
        <f>SUM(D12:D17)</f>
        <v>580820355</v>
      </c>
      <c r="F11" s="59" t="s">
        <v>2626</v>
      </c>
      <c r="G11" s="60">
        <f>SUM(G12:G17)</f>
        <v>790280015</v>
      </c>
      <c r="H11" s="60">
        <f>SUM(H12:H17)</f>
        <v>749203520</v>
      </c>
    </row>
    <row r="12" spans="1:8" ht="12">
      <c r="A12" s="54">
        <v>11</v>
      </c>
      <c r="B12" s="54" t="s">
        <v>1590</v>
      </c>
      <c r="C12" s="61">
        <f>'[1]BALANCE GRAL CUENTA'!C13</f>
        <v>25287255</v>
      </c>
      <c r="D12" s="61">
        <f>'[1]BALANCE GRAL CUENTA'!D13</f>
        <v>21083313</v>
      </c>
      <c r="E12" s="54">
        <v>21</v>
      </c>
      <c r="F12" s="54" t="s">
        <v>2627</v>
      </c>
      <c r="G12" s="61">
        <f>'[3]BLCE.GRAL.CUENTA'!G13</f>
        <v>0</v>
      </c>
      <c r="H12" s="61">
        <f>'[3]BLCE.GRAL.CUENTA'!H13</f>
        <v>0</v>
      </c>
    </row>
    <row r="13" spans="1:8" ht="12">
      <c r="A13" s="54">
        <v>12</v>
      </c>
      <c r="B13" s="54" t="s">
        <v>2636</v>
      </c>
      <c r="C13" s="61">
        <f>'[1]BALANCE GRAL CUENTA'!C21</f>
        <v>223394664</v>
      </c>
      <c r="D13" s="61">
        <f>'[1]BALANCE GRAL CUENTA'!D21</f>
        <v>201599365</v>
      </c>
      <c r="E13" s="54">
        <v>22</v>
      </c>
      <c r="F13" s="54" t="s">
        <v>2635</v>
      </c>
      <c r="G13" s="61">
        <f>'[1]BALANCE GRAL CUENTA'!G19</f>
        <v>16600966</v>
      </c>
      <c r="H13" s="61">
        <f>'[1]BALANCE GRAL CUENTA'!H19</f>
        <v>27433525</v>
      </c>
    </row>
    <row r="14" spans="1:8" ht="12">
      <c r="A14" s="54">
        <v>13</v>
      </c>
      <c r="B14" s="54" t="s">
        <v>2647</v>
      </c>
      <c r="C14" s="61">
        <f>'[4]bce gral por cta'!C27</f>
        <v>0</v>
      </c>
      <c r="E14" s="54">
        <v>23</v>
      </c>
      <c r="F14" s="54" t="s">
        <v>2642</v>
      </c>
      <c r="G14" s="61">
        <f>'[3]BLCE.GRAL.CUENTA'!G24</f>
        <v>0</v>
      </c>
      <c r="H14" s="61">
        <f>'[3]BLCE.GRAL.CUENTA'!H24</f>
        <v>0</v>
      </c>
    </row>
    <row r="15" spans="1:8" ht="12">
      <c r="A15" s="54">
        <v>14</v>
      </c>
      <c r="B15" s="54" t="s">
        <v>896</v>
      </c>
      <c r="C15" s="61">
        <f>'[1]BALANCE GRAL CUENTA'!C34</f>
        <v>238401224</v>
      </c>
      <c r="D15" s="61">
        <f>'[1]BALANCE GRAL CUENTA'!D34</f>
        <v>358137677</v>
      </c>
      <c r="E15" s="54">
        <v>24</v>
      </c>
      <c r="F15" s="54" t="s">
        <v>2649</v>
      </c>
      <c r="G15" s="61">
        <f>'[1]BALANCE GRAL CUENTA'!G29</f>
        <v>772538795</v>
      </c>
      <c r="H15" s="61">
        <f>'[1]BALANCE GRAL CUENTA'!H29</f>
        <v>719997666</v>
      </c>
    </row>
    <row r="16" spans="1:8" ht="12">
      <c r="A16" s="54">
        <v>15</v>
      </c>
      <c r="B16" s="54" t="s">
        <v>1584</v>
      </c>
      <c r="C16" s="61">
        <f>'[3]BLCE.GRAL.CUENTA'!C48</f>
        <v>0</v>
      </c>
      <c r="D16" s="61">
        <f>'[3]BLCE.GRAL.CUENTA'!D48</f>
        <v>0</v>
      </c>
      <c r="E16" s="54">
        <v>25</v>
      </c>
      <c r="F16" s="54" t="s">
        <v>2754</v>
      </c>
      <c r="G16" s="61">
        <f>'[1]BALANCE GRAL CUENTA'!G50</f>
        <v>942083</v>
      </c>
      <c r="H16" s="61">
        <f>'[1]BALANCE GRAL CUENTA'!H50</f>
        <v>626351</v>
      </c>
    </row>
    <row r="17" spans="1:8" ht="12">
      <c r="A17" s="54">
        <v>19</v>
      </c>
      <c r="B17" s="54" t="s">
        <v>2696</v>
      </c>
      <c r="C17" s="61">
        <f>'[1]BALANCE GRAL CUENTA'!C59</f>
        <v>0</v>
      </c>
      <c r="D17" s="61">
        <f>'[1]BALANCE GRAL CUENTA'!D59</f>
        <v>0</v>
      </c>
      <c r="E17" s="54">
        <v>29</v>
      </c>
      <c r="F17" s="54" t="s">
        <v>2721</v>
      </c>
      <c r="G17" s="61">
        <f>'[1]BALANCE GRAL CUENTA'!G73</f>
        <v>198171</v>
      </c>
      <c r="H17" s="61">
        <f>'[1]BALANCE GRAL CUENTA'!H73</f>
        <v>1145978</v>
      </c>
    </row>
    <row r="19" spans="2:8" ht="12">
      <c r="B19" s="59" t="s">
        <v>2737</v>
      </c>
      <c r="C19" s="60">
        <f>SUM(C20:C22)</f>
        <v>181090581</v>
      </c>
      <c r="D19" s="60">
        <f>SUM(D20:D22)</f>
        <v>148178770</v>
      </c>
      <c r="F19" s="59" t="s">
        <v>2736</v>
      </c>
      <c r="G19" s="60">
        <f>SUM(G20:G22)</f>
        <v>0</v>
      </c>
      <c r="H19" s="60">
        <f>SUM(H20:H22)</f>
        <v>0</v>
      </c>
    </row>
    <row r="20" spans="1:8" ht="12">
      <c r="A20" s="54">
        <v>12</v>
      </c>
      <c r="B20" s="54" t="s">
        <v>2636</v>
      </c>
      <c r="C20" s="61">
        <f>'[1]BALANCE GRAL CUENTA'!C91</f>
        <v>0</v>
      </c>
      <c r="D20" s="61">
        <f>'[1]BALANCE GRAL CUENTA'!D91</f>
        <v>49209</v>
      </c>
      <c r="E20" s="54">
        <v>22</v>
      </c>
      <c r="F20" s="54" t="s">
        <v>2635</v>
      </c>
      <c r="G20" s="61">
        <f>'[4]bce gral por cta'!G90</f>
        <v>0</v>
      </c>
      <c r="H20" s="61">
        <f>'[4]bce gral por cta'!H90</f>
        <v>0</v>
      </c>
    </row>
    <row r="21" spans="1:8" ht="12">
      <c r="A21" s="54">
        <v>16</v>
      </c>
      <c r="B21" s="54" t="s">
        <v>2753</v>
      </c>
      <c r="C21" s="61">
        <f>'[1]BALANCE GRAL CUENTA'!C116</f>
        <v>11550448</v>
      </c>
      <c r="D21" s="61">
        <f>'[1]BALANCE GRAL CUENTA'!D116</f>
        <v>13884516</v>
      </c>
      <c r="E21" s="54">
        <v>25</v>
      </c>
      <c r="F21" s="54" t="s">
        <v>2754</v>
      </c>
      <c r="G21" s="61">
        <f>'[4]bce gral por cta'!G122</f>
        <v>0</v>
      </c>
      <c r="H21" s="61">
        <f>'[4]bce gral por cta'!H122</f>
        <v>0</v>
      </c>
    </row>
    <row r="22" spans="1:8" ht="12">
      <c r="A22" s="54">
        <v>19</v>
      </c>
      <c r="B22" s="54" t="s">
        <v>2696</v>
      </c>
      <c r="C22" s="61">
        <f>'[1]BALANCE GRAL CUENTA'!C158</f>
        <v>169540133</v>
      </c>
      <c r="D22" s="61">
        <f>'[1]BALANCE GRAL CUENTA'!D158</f>
        <v>134245045</v>
      </c>
      <c r="E22" s="54">
        <v>29</v>
      </c>
      <c r="F22" s="54" t="s">
        <v>2721</v>
      </c>
      <c r="G22" s="61">
        <f>'[4]bce gral por cta'!G142</f>
        <v>0</v>
      </c>
      <c r="H22" s="61">
        <f>'[4]bce gral por cta'!H142</f>
        <v>0</v>
      </c>
    </row>
    <row r="24" spans="5:8" ht="12">
      <c r="E24" s="54">
        <v>3</v>
      </c>
      <c r="F24" s="59" t="s">
        <v>2783</v>
      </c>
      <c r="G24" s="60">
        <f>SUM(G25:G26)</f>
        <v>-122106291</v>
      </c>
      <c r="H24" s="60">
        <f>SUM(H25:H26)</f>
        <v>-20204395</v>
      </c>
    </row>
    <row r="25" spans="5:8" ht="12">
      <c r="E25" s="54">
        <v>31</v>
      </c>
      <c r="F25" s="54" t="s">
        <v>2786</v>
      </c>
      <c r="G25" s="61">
        <f>'[1]BALANCE GRAL CUENTA'!G150</f>
        <v>-122106291</v>
      </c>
      <c r="H25" s="61">
        <f>'[1]BALANCE GRAL CUENTA'!H150</f>
        <v>-20204395</v>
      </c>
    </row>
    <row r="26" spans="5:8" ht="12">
      <c r="E26" s="54">
        <v>32</v>
      </c>
      <c r="F26" s="54" t="s">
        <v>2800</v>
      </c>
      <c r="G26" s="61">
        <f>'[4]bce gral por cta'!G165</f>
        <v>0</v>
      </c>
      <c r="H26" s="61">
        <v>0</v>
      </c>
    </row>
    <row r="28" spans="1:8" s="4" customFormat="1" ht="12">
      <c r="A28" s="15"/>
      <c r="B28" s="15" t="s">
        <v>2815</v>
      </c>
      <c r="C28" s="46">
        <f>C11+C19</f>
        <v>668173724</v>
      </c>
      <c r="D28" s="46">
        <f>D11+D19</f>
        <v>728999125</v>
      </c>
      <c r="E28" s="15"/>
      <c r="F28" s="15" t="s">
        <v>2816</v>
      </c>
      <c r="G28" s="46">
        <f>G11+G19+G24</f>
        <v>668173724</v>
      </c>
      <c r="H28" s="46">
        <f>H11+H19+H24</f>
        <v>728999125</v>
      </c>
    </row>
    <row r="29" spans="3:8" s="4" customFormat="1" ht="12">
      <c r="C29" s="1"/>
      <c r="D29" s="1"/>
      <c r="G29" s="1"/>
      <c r="H29" s="1"/>
    </row>
    <row r="30" spans="1:8" s="15" customFormat="1" ht="12">
      <c r="A30" s="4"/>
      <c r="B30" s="15" t="s">
        <v>2817</v>
      </c>
      <c r="C30" s="46">
        <f>SUM(C31:C33)</f>
        <v>0</v>
      </c>
      <c r="D30" s="46">
        <f>SUM(D31:D33)</f>
        <v>0</v>
      </c>
      <c r="E30" s="4"/>
      <c r="F30" s="15" t="s">
        <v>2818</v>
      </c>
      <c r="G30" s="46">
        <f>SUM(G31:G33)</f>
        <v>0</v>
      </c>
      <c r="H30" s="46">
        <f>SUM(H31:H33)</f>
        <v>0</v>
      </c>
    </row>
    <row r="31" spans="1:8" s="4" customFormat="1" ht="12">
      <c r="A31" s="4">
        <v>81</v>
      </c>
      <c r="B31" s="4" t="s">
        <v>2819</v>
      </c>
      <c r="C31" s="1">
        <v>0</v>
      </c>
      <c r="D31" s="1">
        <v>0</v>
      </c>
      <c r="E31" s="4">
        <v>91</v>
      </c>
      <c r="F31" s="4" t="s">
        <v>2820</v>
      </c>
      <c r="G31" s="1">
        <f>'[1]BALANCE GRAL CUENTA'!G192</f>
        <v>2456598190</v>
      </c>
      <c r="H31" s="1">
        <f>'[1]BALANCE GRAL CUENTA'!H192</f>
        <v>2191921421</v>
      </c>
    </row>
    <row r="32" spans="1:8" s="4" customFormat="1" ht="12">
      <c r="A32" s="4">
        <v>83</v>
      </c>
      <c r="B32" s="4" t="s">
        <v>2823</v>
      </c>
      <c r="C32" s="1">
        <f>'[1]BALANCE GRAL CUENTA'!C194</f>
        <v>14929858</v>
      </c>
      <c r="D32" s="1">
        <f>'[1]BALANCE GRAL CUENTA'!D194</f>
        <v>14272308</v>
      </c>
      <c r="E32" s="4">
        <v>93</v>
      </c>
      <c r="F32" s="4" t="s">
        <v>2824</v>
      </c>
      <c r="G32" s="1">
        <f>'[1]BALANCE GRAL CUENTA'!G194</f>
        <v>890755</v>
      </c>
      <c r="H32" s="1">
        <f>'[1]BALANCE GRAL CUENTA'!H194</f>
        <v>889755</v>
      </c>
    </row>
    <row r="33" spans="1:8" s="4" customFormat="1" ht="12">
      <c r="A33" s="4">
        <v>89</v>
      </c>
      <c r="B33" s="4" t="s">
        <v>2827</v>
      </c>
      <c r="C33" s="1">
        <f>'[1]BALANCE GRAL CUENTA'!C196</f>
        <v>-14929858</v>
      </c>
      <c r="D33" s="1">
        <f>'[1]BALANCE GRAL CUENTA'!D196</f>
        <v>-14272308</v>
      </c>
      <c r="E33" s="4">
        <v>99</v>
      </c>
      <c r="F33" s="4" t="s">
        <v>2828</v>
      </c>
      <c r="G33" s="1">
        <f>'[1]BALANCE GRAL CUENTA'!G196</f>
        <v>-2457488945</v>
      </c>
      <c r="H33" s="1">
        <f>'[1]BALANCE GRAL CUENTA'!H196</f>
        <v>-2192811176</v>
      </c>
    </row>
    <row r="34" spans="3:8" s="4" customFormat="1" ht="12">
      <c r="C34" s="1"/>
      <c r="D34" s="1"/>
      <c r="G34" s="1"/>
      <c r="H34" s="1"/>
    </row>
    <row r="35" spans="3:8" s="4" customFormat="1" ht="12">
      <c r="C35" s="1"/>
      <c r="D35" s="1"/>
      <c r="G35" s="1"/>
      <c r="H35" s="1"/>
    </row>
    <row r="36" spans="3:8" s="4" customFormat="1" ht="12">
      <c r="C36" s="1"/>
      <c r="D36" s="1"/>
      <c r="G36" s="1"/>
      <c r="H36" s="1"/>
    </row>
    <row r="37" spans="3:8" s="4" customFormat="1" ht="12">
      <c r="C37" s="1"/>
      <c r="D37" s="1"/>
      <c r="G37" s="1"/>
      <c r="H37" s="1"/>
    </row>
    <row r="38" spans="3:8" s="4" customFormat="1" ht="12">
      <c r="C38" s="1"/>
      <c r="D38" s="1"/>
      <c r="G38" s="1"/>
      <c r="H38" s="1"/>
    </row>
    <row r="39" spans="2:8" s="4" customFormat="1" ht="12">
      <c r="B39" s="46" t="s">
        <v>2609</v>
      </c>
      <c r="C39" s="1"/>
      <c r="D39" s="1"/>
      <c r="F39" s="15" t="s">
        <v>2610</v>
      </c>
      <c r="G39" s="15"/>
      <c r="H39" s="1"/>
    </row>
    <row r="40" spans="2:6" s="4" customFormat="1" ht="12">
      <c r="B40" s="1" t="s">
        <v>2611</v>
      </c>
      <c r="C40" s="1"/>
      <c r="D40" s="1"/>
      <c r="F40" s="4" t="s">
        <v>2612</v>
      </c>
    </row>
    <row r="41" spans="2:4" s="4" customFormat="1" ht="12">
      <c r="B41" s="1"/>
      <c r="C41" s="1"/>
      <c r="D41" s="1"/>
    </row>
    <row r="42" spans="2:6" s="4" customFormat="1" ht="12">
      <c r="B42" s="15"/>
      <c r="C42" s="1"/>
      <c r="D42" s="1"/>
      <c r="F42" s="4" t="s">
        <v>2829</v>
      </c>
    </row>
    <row r="43" spans="2:4" s="4" customFormat="1" ht="12">
      <c r="B43" s="15"/>
      <c r="C43" s="1"/>
      <c r="D43" s="1"/>
    </row>
    <row r="44" spans="2:4" s="4" customFormat="1" ht="12">
      <c r="B44" s="15"/>
      <c r="C44" s="1"/>
      <c r="D44" s="1"/>
    </row>
    <row r="45" spans="2:8" s="4" customFormat="1" ht="12">
      <c r="B45" s="15"/>
      <c r="C45" s="1"/>
      <c r="D45" s="1"/>
      <c r="H45" s="1"/>
    </row>
    <row r="46" spans="2:8" s="4" customFormat="1" ht="12">
      <c r="B46" s="15"/>
      <c r="C46" s="1"/>
      <c r="D46" s="1"/>
      <c r="G46" s="1"/>
      <c r="H46" s="1"/>
    </row>
    <row r="47" spans="2:8" s="4" customFormat="1" ht="12">
      <c r="B47" s="15" t="s">
        <v>2613</v>
      </c>
      <c r="C47" s="1"/>
      <c r="D47" s="1"/>
      <c r="G47" s="1"/>
      <c r="H47" s="1"/>
    </row>
    <row r="48" spans="2:8" s="4" customFormat="1" ht="12">
      <c r="B48" s="4" t="s">
        <v>2614</v>
      </c>
      <c r="C48" s="1"/>
      <c r="D48" s="1"/>
      <c r="G48" s="1"/>
      <c r="H48" s="1"/>
    </row>
    <row r="49" spans="2:8" s="4" customFormat="1" ht="12">
      <c r="B49" s="4" t="s">
        <v>2615</v>
      </c>
      <c r="C49" s="1"/>
      <c r="D49" s="1"/>
      <c r="G49" s="1"/>
      <c r="H49" s="1"/>
    </row>
    <row r="50" spans="2:8" s="4" customFormat="1" ht="12">
      <c r="B50" s="15"/>
      <c r="C50" s="1"/>
      <c r="D50" s="1"/>
      <c r="G50" s="1"/>
      <c r="H50" s="1"/>
    </row>
    <row r="51" spans="2:8" s="4" customFormat="1" ht="12">
      <c r="B51" s="15"/>
      <c r="C51" s="1"/>
      <c r="D51" s="1"/>
      <c r="G51" s="1"/>
      <c r="H51" s="1"/>
    </row>
    <row r="52" spans="3:8" s="4" customFormat="1" ht="12">
      <c r="C52" s="1"/>
      <c r="D52" s="1"/>
      <c r="G52" s="1"/>
      <c r="H52" s="1"/>
    </row>
    <row r="53" spans="3:8" s="4" customFormat="1" ht="12">
      <c r="C53" s="1"/>
      <c r="D53" s="1"/>
      <c r="G53" s="1"/>
      <c r="H53" s="1"/>
    </row>
    <row r="54" spans="3:8" s="4" customFormat="1" ht="12">
      <c r="C54" s="1"/>
      <c r="D54" s="1"/>
      <c r="G54" s="1"/>
      <c r="H54" s="1"/>
    </row>
    <row r="55" spans="3:8" s="4" customFormat="1" ht="12">
      <c r="C55" s="1"/>
      <c r="D55" s="1"/>
      <c r="G55" s="1"/>
      <c r="H55" s="1"/>
    </row>
    <row r="56" spans="3:8" s="4" customFormat="1" ht="12">
      <c r="C56" s="1"/>
      <c r="D56" s="1"/>
      <c r="G56" s="1"/>
      <c r="H56" s="1"/>
    </row>
    <row r="57" spans="3:8" s="4" customFormat="1" ht="12">
      <c r="C57" s="1"/>
      <c r="D57" s="1"/>
      <c r="G57" s="1"/>
      <c r="H57" s="1"/>
    </row>
    <row r="58" spans="3:8" s="4" customFormat="1" ht="12">
      <c r="C58" s="1"/>
      <c r="D58" s="1"/>
      <c r="G58" s="1"/>
      <c r="H58" s="1"/>
    </row>
    <row r="59" spans="3:8" s="4" customFormat="1" ht="12">
      <c r="C59" s="1"/>
      <c r="D59" s="1"/>
      <c r="G59" s="1"/>
      <c r="H59" s="1"/>
    </row>
    <row r="60" spans="3:8" s="4" customFormat="1" ht="12">
      <c r="C60" s="1"/>
      <c r="D60" s="1"/>
      <c r="G60" s="1"/>
      <c r="H60" s="1"/>
    </row>
    <row r="61" spans="3:8" s="4" customFormat="1" ht="12">
      <c r="C61" s="1"/>
      <c r="D61" s="1"/>
      <c r="G61" s="1"/>
      <c r="H61" s="1"/>
    </row>
    <row r="62" spans="3:8" s="4" customFormat="1" ht="12">
      <c r="C62" s="1"/>
      <c r="D62" s="1"/>
      <c r="G62" s="1"/>
      <c r="H62" s="1"/>
    </row>
  </sheetData>
  <sheetProtection password="8D25" sheet="1" formatCells="0" formatColumns="0" formatRows="0" insertColumns="0" insertRows="0" insertHyperlinks="0" deleteColumns="0" deleteRows="0" sort="0" autoFilter="0" pivotTables="0"/>
  <mergeCells count="5">
    <mergeCell ref="A5:H5"/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I263"/>
  <sheetViews>
    <sheetView workbookViewId="0" topLeftCell="A1">
      <selection activeCell="B17" sqref="B17"/>
    </sheetView>
  </sheetViews>
  <sheetFormatPr defaultColWidth="11.421875" defaultRowHeight="12.75"/>
  <cols>
    <col min="1" max="1" width="6.7109375" style="64" bestFit="1" customWidth="1"/>
    <col min="2" max="2" width="58.57421875" style="64" bestFit="1" customWidth="1"/>
    <col min="3" max="3" width="14.140625" style="64" hidden="1" customWidth="1"/>
    <col min="4" max="4" width="18.8515625" style="64" bestFit="1" customWidth="1"/>
    <col min="5" max="5" width="14.28125" style="70" bestFit="1" customWidth="1"/>
    <col min="6" max="6" width="15.140625" style="64" customWidth="1"/>
    <col min="7" max="7" width="11.7109375" style="64" bestFit="1" customWidth="1"/>
    <col min="8" max="16384" width="11.421875" style="64" customWidth="1"/>
  </cols>
  <sheetData>
    <row r="1" spans="1:9" ht="12.75">
      <c r="A1" s="305" t="s">
        <v>2616</v>
      </c>
      <c r="B1" s="305"/>
      <c r="C1" s="305"/>
      <c r="D1" s="305"/>
      <c r="E1" s="305"/>
      <c r="F1" s="63"/>
      <c r="G1" s="63"/>
      <c r="H1" s="63"/>
      <c r="I1" s="63"/>
    </row>
    <row r="2" spans="1:5" ht="12.75">
      <c r="A2" s="305" t="s">
        <v>2830</v>
      </c>
      <c r="B2" s="305"/>
      <c r="C2" s="305"/>
      <c r="D2" s="305"/>
      <c r="E2" s="305"/>
    </row>
    <row r="3" spans="1:5" ht="12.75" customHeight="1">
      <c r="A3" s="305" t="s">
        <v>2618</v>
      </c>
      <c r="B3" s="305"/>
      <c r="C3" s="305"/>
      <c r="D3" s="305"/>
      <c r="E3" s="305"/>
    </row>
    <row r="4" spans="1:5" ht="12.75">
      <c r="A4" s="305" t="s">
        <v>2619</v>
      </c>
      <c r="B4" s="305"/>
      <c r="C4" s="305"/>
      <c r="D4" s="305"/>
      <c r="E4" s="305"/>
    </row>
    <row r="5" spans="1:5" ht="12.75">
      <c r="A5" s="305" t="s">
        <v>2620</v>
      </c>
      <c r="B5" s="305"/>
      <c r="C5" s="305"/>
      <c r="D5" s="305"/>
      <c r="E5" s="305"/>
    </row>
    <row r="6" spans="1:5" ht="12.75">
      <c r="A6" s="62"/>
      <c r="B6" s="62"/>
      <c r="C6" s="62"/>
      <c r="D6" s="62"/>
      <c r="E6" s="62"/>
    </row>
    <row r="7" spans="1:5" ht="12.75" customHeight="1">
      <c r="A7" s="65"/>
      <c r="B7" s="65"/>
      <c r="C7" s="65"/>
      <c r="D7" s="66">
        <v>2006</v>
      </c>
      <c r="E7" s="66">
        <v>2005</v>
      </c>
    </row>
    <row r="8" spans="1:5" ht="12.75">
      <c r="A8" s="65"/>
      <c r="B8" s="65"/>
      <c r="C8" s="65"/>
      <c r="D8" s="66" t="s">
        <v>2621</v>
      </c>
      <c r="E8" s="66" t="s">
        <v>2621</v>
      </c>
    </row>
    <row r="9" spans="1:5" ht="12.75">
      <c r="A9" s="65" t="s">
        <v>2622</v>
      </c>
      <c r="B9" s="67" t="s">
        <v>2831</v>
      </c>
      <c r="C9" s="65"/>
      <c r="D9" s="66" t="s">
        <v>2623</v>
      </c>
      <c r="E9" s="66" t="s">
        <v>2623</v>
      </c>
    </row>
    <row r="10" spans="1:5" ht="12.75">
      <c r="A10" s="65"/>
      <c r="B10" s="65"/>
      <c r="C10" s="65"/>
      <c r="D10" s="66" t="s">
        <v>2624</v>
      </c>
      <c r="E10" s="66" t="s">
        <v>2624</v>
      </c>
    </row>
    <row r="11" spans="1:5" ht="12.75">
      <c r="A11" s="63"/>
      <c r="B11" s="63"/>
      <c r="C11" s="63"/>
      <c r="D11" s="68"/>
      <c r="E11" s="68"/>
    </row>
    <row r="12" spans="2:7" s="72" customFormat="1" ht="12.75">
      <c r="B12" s="71" t="s">
        <v>2832</v>
      </c>
      <c r="D12" s="69">
        <f>D13+D20+D25+D44+D55</f>
        <v>12447541780</v>
      </c>
      <c r="E12" s="69">
        <f>E13+E20+E25+E44+E55</f>
        <v>11624008787</v>
      </c>
      <c r="F12" s="265"/>
      <c r="G12" s="265"/>
    </row>
    <row r="13" spans="1:5" s="72" customFormat="1" ht="12.75">
      <c r="A13" s="72">
        <v>41</v>
      </c>
      <c r="B13" s="71" t="s">
        <v>2833</v>
      </c>
      <c r="D13" s="69">
        <f>SUM(D14:D18)</f>
        <v>141479990</v>
      </c>
      <c r="E13" s="69">
        <f>SUM(E14:E18)</f>
        <v>114811155</v>
      </c>
    </row>
    <row r="14" spans="1:5" s="72" customFormat="1" ht="12.75">
      <c r="A14" s="72">
        <v>4105</v>
      </c>
      <c r="B14" s="72" t="s">
        <v>2834</v>
      </c>
      <c r="D14" s="265">
        <v>0</v>
      </c>
      <c r="E14" s="265">
        <v>0</v>
      </c>
    </row>
    <row r="15" spans="1:5" s="72" customFormat="1" ht="12.75">
      <c r="A15" s="72">
        <v>4110</v>
      </c>
      <c r="B15" s="72" t="s">
        <v>1652</v>
      </c>
      <c r="D15" s="265">
        <v>402454</v>
      </c>
      <c r="E15" s="265">
        <v>91358</v>
      </c>
    </row>
    <row r="16" spans="1:5" s="72" customFormat="1" ht="12.75">
      <c r="A16" s="72">
        <v>4115</v>
      </c>
      <c r="B16" s="72" t="s">
        <v>2835</v>
      </c>
      <c r="D16" s="265">
        <v>0</v>
      </c>
      <c r="E16" s="265">
        <v>0</v>
      </c>
    </row>
    <row r="17" spans="1:5" s="72" customFormat="1" ht="12.75">
      <c r="A17" s="72">
        <v>4120</v>
      </c>
      <c r="B17" s="72" t="s">
        <v>2836</v>
      </c>
      <c r="D17" s="265">
        <v>141077536</v>
      </c>
      <c r="E17" s="265">
        <v>114719797</v>
      </c>
    </row>
    <row r="18" spans="1:5" s="72" customFormat="1" ht="12.75">
      <c r="A18" s="72">
        <v>4195</v>
      </c>
      <c r="B18" s="72" t="s">
        <v>2837</v>
      </c>
      <c r="D18" s="265">
        <v>0</v>
      </c>
      <c r="E18" s="265">
        <v>0</v>
      </c>
    </row>
    <row r="19" spans="4:5" s="72" customFormat="1" ht="12.75">
      <c r="D19" s="265"/>
      <c r="E19" s="265"/>
    </row>
    <row r="20" spans="1:5" s="72" customFormat="1" ht="12.75">
      <c r="A20" s="72">
        <v>42</v>
      </c>
      <c r="B20" s="71" t="s">
        <v>2838</v>
      </c>
      <c r="D20" s="69">
        <f>SUM(D21:D23)</f>
        <v>0</v>
      </c>
      <c r="E20" s="69">
        <f>SUM(E21:E23)</f>
        <v>0</v>
      </c>
    </row>
    <row r="21" spans="1:5" s="72" customFormat="1" ht="12.75">
      <c r="A21" s="72">
        <v>4205</v>
      </c>
      <c r="B21" s="72" t="s">
        <v>2839</v>
      </c>
      <c r="D21" s="265">
        <v>0</v>
      </c>
      <c r="E21" s="265">
        <v>0</v>
      </c>
    </row>
    <row r="22" spans="1:5" s="72" customFormat="1" ht="12.75">
      <c r="A22" s="72">
        <v>4210</v>
      </c>
      <c r="B22" s="72" t="s">
        <v>2840</v>
      </c>
      <c r="D22" s="265">
        <v>0</v>
      </c>
      <c r="E22" s="265">
        <v>0</v>
      </c>
    </row>
    <row r="23" spans="1:5" s="72" customFormat="1" ht="12.75">
      <c r="A23" s="72">
        <v>4295</v>
      </c>
      <c r="B23" s="72" t="s">
        <v>2841</v>
      </c>
      <c r="D23" s="265">
        <v>0</v>
      </c>
      <c r="E23" s="265">
        <v>0</v>
      </c>
    </row>
    <row r="24" spans="4:5" s="72" customFormat="1" ht="12.75">
      <c r="D24" s="265"/>
      <c r="E24" s="265"/>
    </row>
    <row r="25" spans="1:5" s="72" customFormat="1" ht="12.75">
      <c r="A25" s="72">
        <v>43</v>
      </c>
      <c r="B25" s="71" t="s">
        <v>2842</v>
      </c>
      <c r="D25" s="69">
        <f>SUM(D26:D42)</f>
        <v>0</v>
      </c>
      <c r="E25" s="69">
        <f>SUM(E26:E42)</f>
        <v>3224640</v>
      </c>
    </row>
    <row r="26" spans="1:5" s="72" customFormat="1" ht="12.75">
      <c r="A26" s="72">
        <v>4305</v>
      </c>
      <c r="B26" s="72" t="s">
        <v>2843</v>
      </c>
      <c r="D26" s="265">
        <f>'[1]CONSOLIDADO CHIP'!H372</f>
        <v>0</v>
      </c>
      <c r="E26" s="265">
        <v>3715617</v>
      </c>
    </row>
    <row r="27" spans="1:5" s="72" customFormat="1" ht="12.75">
      <c r="A27" s="72">
        <v>4310</v>
      </c>
      <c r="B27" s="72" t="s">
        <v>2844</v>
      </c>
      <c r="D27" s="265">
        <v>0</v>
      </c>
      <c r="E27" s="265">
        <v>0</v>
      </c>
    </row>
    <row r="28" spans="1:5" s="72" customFormat="1" ht="12.75">
      <c r="A28" s="72">
        <v>4312</v>
      </c>
      <c r="B28" s="72" t="s">
        <v>2845</v>
      </c>
      <c r="D28" s="265">
        <v>0</v>
      </c>
      <c r="E28" s="265">
        <v>0</v>
      </c>
    </row>
    <row r="29" spans="1:5" s="72" customFormat="1" ht="12.75">
      <c r="A29" s="72">
        <v>4315</v>
      </c>
      <c r="B29" s="72" t="s">
        <v>2846</v>
      </c>
      <c r="D29" s="265">
        <v>0</v>
      </c>
      <c r="E29" s="265">
        <v>0</v>
      </c>
    </row>
    <row r="30" spans="1:5" s="72" customFormat="1" ht="12.75">
      <c r="A30" s="72">
        <v>4321</v>
      </c>
      <c r="B30" s="72" t="s">
        <v>2847</v>
      </c>
      <c r="D30" s="265">
        <v>0</v>
      </c>
      <c r="E30" s="265">
        <v>0</v>
      </c>
    </row>
    <row r="31" spans="1:5" s="72" customFormat="1" ht="12.75">
      <c r="A31" s="72">
        <v>4322</v>
      </c>
      <c r="B31" s="72" t="s">
        <v>2848</v>
      </c>
      <c r="D31" s="265">
        <v>0</v>
      </c>
      <c r="E31" s="265">
        <v>0</v>
      </c>
    </row>
    <row r="32" spans="1:5" s="72" customFormat="1" ht="12.75">
      <c r="A32" s="72">
        <v>4323</v>
      </c>
      <c r="B32" s="72" t="s">
        <v>2849</v>
      </c>
      <c r="D32" s="265">
        <v>0</v>
      </c>
      <c r="E32" s="265">
        <v>0</v>
      </c>
    </row>
    <row r="33" spans="1:5" s="72" customFormat="1" ht="12.75">
      <c r="A33" s="72">
        <v>4325</v>
      </c>
      <c r="B33" s="72" t="s">
        <v>2850</v>
      </c>
      <c r="D33" s="265">
        <v>0</v>
      </c>
      <c r="E33" s="265">
        <v>0</v>
      </c>
    </row>
    <row r="34" spans="1:5" s="72" customFormat="1" ht="12.75">
      <c r="A34" s="72">
        <v>4330</v>
      </c>
      <c r="B34" s="72" t="s">
        <v>2851</v>
      </c>
      <c r="D34" s="265">
        <v>0</v>
      </c>
      <c r="E34" s="265">
        <v>0</v>
      </c>
    </row>
    <row r="35" spans="1:5" s="72" customFormat="1" ht="12.75">
      <c r="A35" s="72">
        <v>4335</v>
      </c>
      <c r="B35" s="72" t="s">
        <v>2852</v>
      </c>
      <c r="D35" s="265">
        <v>0</v>
      </c>
      <c r="E35" s="265">
        <v>0</v>
      </c>
    </row>
    <row r="36" spans="1:6" s="72" customFormat="1" ht="12.75">
      <c r="A36" s="72">
        <v>4340</v>
      </c>
      <c r="B36" s="72" t="s">
        <v>2853</v>
      </c>
      <c r="D36" s="265">
        <v>0</v>
      </c>
      <c r="E36" s="265">
        <v>0</v>
      </c>
      <c r="F36" s="265"/>
    </row>
    <row r="37" spans="1:5" s="72" customFormat="1" ht="12.75">
      <c r="A37" s="72">
        <v>4345</v>
      </c>
      <c r="B37" s="72" t="s">
        <v>2854</v>
      </c>
      <c r="D37" s="265">
        <v>0</v>
      </c>
      <c r="E37" s="265">
        <v>0</v>
      </c>
    </row>
    <row r="38" spans="1:5" s="72" customFormat="1" ht="12.75">
      <c r="A38" s="72">
        <v>4350</v>
      </c>
      <c r="B38" s="72" t="s">
        <v>2855</v>
      </c>
      <c r="D38" s="265">
        <v>0</v>
      </c>
      <c r="E38" s="265">
        <v>0</v>
      </c>
    </row>
    <row r="39" spans="1:5" s="72" customFormat="1" ht="12.75">
      <c r="A39" s="72">
        <v>4355</v>
      </c>
      <c r="B39" s="72" t="s">
        <v>2856</v>
      </c>
      <c r="D39" s="265">
        <v>0</v>
      </c>
      <c r="E39" s="265">
        <v>0</v>
      </c>
    </row>
    <row r="40" spans="1:5" s="72" customFormat="1" ht="12.75">
      <c r="A40" s="72">
        <v>4360</v>
      </c>
      <c r="B40" s="72" t="s">
        <v>2857</v>
      </c>
      <c r="D40" s="265">
        <v>0</v>
      </c>
      <c r="E40" s="265">
        <v>0</v>
      </c>
    </row>
    <row r="41" spans="1:5" s="72" customFormat="1" ht="12.75">
      <c r="A41" s="72">
        <v>4390</v>
      </c>
      <c r="B41" s="72" t="s">
        <v>2858</v>
      </c>
      <c r="D41" s="265">
        <f>'[3]CONSOLIDADO'!F368</f>
        <v>0</v>
      </c>
      <c r="E41" s="265">
        <v>0</v>
      </c>
    </row>
    <row r="42" spans="1:5" s="72" customFormat="1" ht="12.75">
      <c r="A42" s="72">
        <v>4395</v>
      </c>
      <c r="B42" s="72" t="s">
        <v>2859</v>
      </c>
      <c r="D42" s="265">
        <f>'[1]CONSOLIDADO CHIP'!H377</f>
        <v>0</v>
      </c>
      <c r="E42" s="265">
        <v>-490977</v>
      </c>
    </row>
    <row r="43" spans="4:5" s="72" customFormat="1" ht="12.75">
      <c r="D43" s="265"/>
      <c r="E43" s="265"/>
    </row>
    <row r="44" spans="1:5" s="72" customFormat="1" ht="12.75">
      <c r="A44" s="72">
        <v>44</v>
      </c>
      <c r="B44" s="71" t="s">
        <v>2654</v>
      </c>
      <c r="D44" s="69">
        <f>SUM(D45:D53)</f>
        <v>0</v>
      </c>
      <c r="E44" s="69">
        <f>SUM(E45:E53)</f>
        <v>1508902</v>
      </c>
    </row>
    <row r="45" spans="1:5" s="72" customFormat="1" ht="12.75">
      <c r="A45" s="72">
        <v>4403</v>
      </c>
      <c r="B45" s="72" t="s">
        <v>2860</v>
      </c>
      <c r="D45" s="265">
        <f>'[1]CONSOLIDADO CHIP'!H380</f>
        <v>0</v>
      </c>
      <c r="E45" s="265">
        <v>1508902</v>
      </c>
    </row>
    <row r="46" spans="1:5" s="72" customFormat="1" ht="12.75">
      <c r="A46" s="72">
        <v>4405</v>
      </c>
      <c r="B46" s="72" t="s">
        <v>2861</v>
      </c>
      <c r="D46" s="265">
        <v>0</v>
      </c>
      <c r="E46" s="265">
        <v>0</v>
      </c>
    </row>
    <row r="47" spans="1:5" s="72" customFormat="1" ht="12.75">
      <c r="A47" s="72">
        <v>4406</v>
      </c>
      <c r="B47" s="72" t="s">
        <v>2862</v>
      </c>
      <c r="D47" s="265">
        <v>0</v>
      </c>
      <c r="E47" s="265">
        <v>0</v>
      </c>
    </row>
    <row r="48" spans="1:5" s="72" customFormat="1" ht="12.75">
      <c r="A48" s="72">
        <v>4407</v>
      </c>
      <c r="B48" s="72" t="s">
        <v>2863</v>
      </c>
      <c r="D48" s="265">
        <v>0</v>
      </c>
      <c r="E48" s="265">
        <v>0</v>
      </c>
    </row>
    <row r="49" spans="1:5" s="72" customFormat="1" ht="12.75">
      <c r="A49" s="72">
        <v>4419</v>
      </c>
      <c r="B49" s="72" t="s">
        <v>2864</v>
      </c>
      <c r="D49" s="265">
        <v>0</v>
      </c>
      <c r="E49" s="265">
        <v>0</v>
      </c>
    </row>
    <row r="50" spans="2:5" s="72" customFormat="1" ht="12.75">
      <c r="B50" s="72" t="s">
        <v>2865</v>
      </c>
      <c r="D50" s="265"/>
      <c r="E50" s="265"/>
    </row>
    <row r="51" spans="1:5" s="72" customFormat="1" ht="12.75">
      <c r="A51" s="72">
        <v>4420</v>
      </c>
      <c r="B51" s="72" t="s">
        <v>2866</v>
      </c>
      <c r="D51" s="265">
        <v>0</v>
      </c>
      <c r="E51" s="265">
        <v>0</v>
      </c>
    </row>
    <row r="52" spans="1:5" s="72" customFormat="1" ht="12.75">
      <c r="A52" s="72">
        <v>4425</v>
      </c>
      <c r="B52" s="72" t="s">
        <v>2867</v>
      </c>
      <c r="D52" s="265">
        <v>0</v>
      </c>
      <c r="E52" s="265">
        <v>0</v>
      </c>
    </row>
    <row r="53" spans="1:5" s="72" customFormat="1" ht="12.75">
      <c r="A53" s="72">
        <v>4470</v>
      </c>
      <c r="B53" s="72" t="s">
        <v>2868</v>
      </c>
      <c r="D53" s="265">
        <v>0</v>
      </c>
      <c r="E53" s="265">
        <v>0</v>
      </c>
    </row>
    <row r="54" spans="4:5" s="72" customFormat="1" ht="12.75">
      <c r="D54" s="265"/>
      <c r="E54" s="265"/>
    </row>
    <row r="55" spans="1:5" s="72" customFormat="1" ht="12.75">
      <c r="A55" s="72">
        <v>47</v>
      </c>
      <c r="B55" s="71" t="s">
        <v>2869</v>
      </c>
      <c r="D55" s="69">
        <f>SUM(D56:D59)</f>
        <v>12306061790</v>
      </c>
      <c r="E55" s="69">
        <f>SUM(E56:E58)</f>
        <v>11504464090</v>
      </c>
    </row>
    <row r="56" spans="1:5" s="72" customFormat="1" ht="12.75">
      <c r="A56" s="72">
        <v>4705</v>
      </c>
      <c r="B56" s="72" t="s">
        <v>2870</v>
      </c>
      <c r="D56" s="265">
        <f>'[1]CONSOLIDADO CHIP'!H383</f>
        <v>12243309810</v>
      </c>
      <c r="E56" s="265">
        <v>11433624056</v>
      </c>
    </row>
    <row r="57" spans="1:5" s="72" customFormat="1" ht="12.75">
      <c r="A57" s="72">
        <v>4720</v>
      </c>
      <c r="B57" s="72" t="s">
        <v>2871</v>
      </c>
      <c r="D57" s="265">
        <f>'[1]CONSOLIDADO CHIP'!H389</f>
        <v>797</v>
      </c>
      <c r="E57" s="265">
        <v>0</v>
      </c>
    </row>
    <row r="58" spans="1:5" s="72" customFormat="1" ht="12.75">
      <c r="A58" s="72">
        <v>4722</v>
      </c>
      <c r="B58" s="72" t="s">
        <v>2872</v>
      </c>
      <c r="D58" s="265">
        <f>'[1]CONSOLIDADO CHIP'!H393</f>
        <v>62746665</v>
      </c>
      <c r="E58" s="265">
        <v>70840034</v>
      </c>
    </row>
    <row r="59" spans="1:5" s="72" customFormat="1" ht="12.75">
      <c r="A59" s="72">
        <v>4725</v>
      </c>
      <c r="B59" s="72" t="s">
        <v>2873</v>
      </c>
      <c r="D59" s="265">
        <f>'[1]CONSOLIDADO CHIP'!H399</f>
        <v>4518</v>
      </c>
      <c r="E59" s="265">
        <v>0</v>
      </c>
    </row>
    <row r="60" spans="4:5" s="72" customFormat="1" ht="12.75">
      <c r="D60" s="265"/>
      <c r="E60" s="265"/>
    </row>
    <row r="61" spans="2:5" s="72" customFormat="1" ht="12.75">
      <c r="B61" s="71" t="s">
        <v>2874</v>
      </c>
      <c r="D61" s="69">
        <f>-D62</f>
        <v>0</v>
      </c>
      <c r="E61" s="69">
        <f>-E62</f>
        <v>0</v>
      </c>
    </row>
    <row r="62" spans="1:5" s="72" customFormat="1" ht="12.75">
      <c r="A62" s="72">
        <v>61</v>
      </c>
      <c r="B62" s="72" t="s">
        <v>2875</v>
      </c>
      <c r="D62" s="265">
        <f>SUM(D63:D79)</f>
        <v>0</v>
      </c>
      <c r="E62" s="265">
        <f>SUM(E63:E79)</f>
        <v>0</v>
      </c>
    </row>
    <row r="63" spans="1:5" s="72" customFormat="1" ht="12.75">
      <c r="A63" s="72">
        <v>6105</v>
      </c>
      <c r="B63" s="72" t="s">
        <v>2682</v>
      </c>
      <c r="D63" s="265">
        <v>0</v>
      </c>
      <c r="E63" s="265">
        <v>0</v>
      </c>
    </row>
    <row r="64" spans="1:5" s="72" customFormat="1" ht="12.75">
      <c r="A64" s="72">
        <v>6110</v>
      </c>
      <c r="B64" s="72" t="s">
        <v>2840</v>
      </c>
      <c r="D64" s="265">
        <v>0</v>
      </c>
      <c r="E64" s="265">
        <v>0</v>
      </c>
    </row>
    <row r="65" spans="1:5" s="72" customFormat="1" ht="12.75">
      <c r="A65" s="72">
        <v>6115</v>
      </c>
      <c r="B65" s="72" t="s">
        <v>2843</v>
      </c>
      <c r="D65" s="265">
        <v>0</v>
      </c>
      <c r="E65" s="265">
        <v>0</v>
      </c>
    </row>
    <row r="66" spans="1:5" s="72" customFormat="1" ht="12.75">
      <c r="A66" s="72">
        <v>6120</v>
      </c>
      <c r="B66" s="72" t="s">
        <v>2844</v>
      </c>
      <c r="D66" s="265">
        <v>0</v>
      </c>
      <c r="E66" s="265">
        <v>0</v>
      </c>
    </row>
    <row r="67" spans="1:5" s="72" customFormat="1" ht="12.75">
      <c r="A67" s="72">
        <v>6122</v>
      </c>
      <c r="B67" s="72" t="s">
        <v>2845</v>
      </c>
      <c r="D67" s="265">
        <v>0</v>
      </c>
      <c r="E67" s="265">
        <v>0</v>
      </c>
    </row>
    <row r="68" spans="1:5" s="72" customFormat="1" ht="12.75">
      <c r="A68" s="72">
        <v>6125</v>
      </c>
      <c r="B68" s="72" t="s">
        <v>2846</v>
      </c>
      <c r="D68" s="265">
        <v>0</v>
      </c>
      <c r="E68" s="265">
        <v>0</v>
      </c>
    </row>
    <row r="69" spans="1:5" s="72" customFormat="1" ht="12.75">
      <c r="A69" s="72">
        <v>6131</v>
      </c>
      <c r="B69" s="72" t="s">
        <v>2847</v>
      </c>
      <c r="D69" s="265">
        <v>0</v>
      </c>
      <c r="E69" s="265">
        <v>0</v>
      </c>
    </row>
    <row r="70" spans="1:5" s="72" customFormat="1" ht="12.75">
      <c r="A70" s="72">
        <v>6132</v>
      </c>
      <c r="B70" s="72" t="s">
        <v>2848</v>
      </c>
      <c r="D70" s="265">
        <v>0</v>
      </c>
      <c r="E70" s="265">
        <v>0</v>
      </c>
    </row>
    <row r="71" spans="1:5" s="72" customFormat="1" ht="12.75">
      <c r="A71" s="72">
        <v>6133</v>
      </c>
      <c r="B71" s="72" t="s">
        <v>2849</v>
      </c>
      <c r="D71" s="265">
        <v>0</v>
      </c>
      <c r="E71" s="265">
        <v>0</v>
      </c>
    </row>
    <row r="72" spans="1:5" s="72" customFormat="1" ht="12.75">
      <c r="A72" s="72">
        <v>6135</v>
      </c>
      <c r="B72" s="72" t="s">
        <v>2850</v>
      </c>
      <c r="D72" s="265">
        <v>0</v>
      </c>
      <c r="E72" s="265">
        <v>0</v>
      </c>
    </row>
    <row r="73" spans="1:5" s="72" customFormat="1" ht="12.75">
      <c r="A73" s="72">
        <v>6140</v>
      </c>
      <c r="B73" s="72" t="s">
        <v>2851</v>
      </c>
      <c r="D73" s="265">
        <v>0</v>
      </c>
      <c r="E73" s="265">
        <v>0</v>
      </c>
    </row>
    <row r="74" spans="1:5" s="72" customFormat="1" ht="12.75">
      <c r="A74" s="72">
        <v>6145</v>
      </c>
      <c r="B74" s="72" t="s">
        <v>2852</v>
      </c>
      <c r="D74" s="265">
        <v>0</v>
      </c>
      <c r="E74" s="265">
        <v>0</v>
      </c>
    </row>
    <row r="75" spans="1:5" s="72" customFormat="1" ht="12.75">
      <c r="A75" s="72">
        <v>6150</v>
      </c>
      <c r="B75" s="72" t="s">
        <v>2853</v>
      </c>
      <c r="D75" s="265">
        <v>0</v>
      </c>
      <c r="E75" s="265">
        <v>0</v>
      </c>
    </row>
    <row r="76" spans="1:5" s="72" customFormat="1" ht="12.75">
      <c r="A76" s="72">
        <v>6155</v>
      </c>
      <c r="B76" s="72" t="s">
        <v>2854</v>
      </c>
      <c r="D76" s="265">
        <v>0</v>
      </c>
      <c r="E76" s="265">
        <v>0</v>
      </c>
    </row>
    <row r="77" spans="1:5" s="72" customFormat="1" ht="12.75">
      <c r="A77" s="72">
        <v>6160</v>
      </c>
      <c r="B77" s="72" t="s">
        <v>2855</v>
      </c>
      <c r="D77" s="265">
        <v>0</v>
      </c>
      <c r="E77" s="265">
        <v>0</v>
      </c>
    </row>
    <row r="78" spans="1:5" s="72" customFormat="1" ht="12.75">
      <c r="A78" s="72">
        <v>6165</v>
      </c>
      <c r="B78" s="72" t="s">
        <v>2856</v>
      </c>
      <c r="D78" s="265">
        <v>0</v>
      </c>
      <c r="E78" s="265">
        <v>0</v>
      </c>
    </row>
    <row r="79" spans="1:5" s="72" customFormat="1" ht="12.75">
      <c r="A79" s="72">
        <v>6190</v>
      </c>
      <c r="B79" s="72" t="s">
        <v>2858</v>
      </c>
      <c r="D79" s="265">
        <v>0</v>
      </c>
      <c r="E79" s="265">
        <v>0</v>
      </c>
    </row>
    <row r="80" spans="4:5" s="72" customFormat="1" ht="12.75">
      <c r="D80" s="265"/>
      <c r="E80" s="265"/>
    </row>
    <row r="81" spans="2:5" s="72" customFormat="1" ht="12.75">
      <c r="B81" s="71" t="s">
        <v>2876</v>
      </c>
      <c r="D81" s="69">
        <f>-(D83+D91+D95+D103+D116+D120+D123)</f>
        <v>-12418312815</v>
      </c>
      <c r="E81" s="69">
        <f>-(E83+E91+E95+E103+E116+E120+E123)</f>
        <v>-11390026356</v>
      </c>
    </row>
    <row r="82" spans="2:7" s="72" customFormat="1" ht="12.75">
      <c r="B82" s="71"/>
      <c r="D82" s="69"/>
      <c r="E82" s="69"/>
      <c r="F82" s="265"/>
      <c r="G82" s="265"/>
    </row>
    <row r="83" spans="1:5" s="72" customFormat="1" ht="12.75">
      <c r="A83" s="72">
        <v>51</v>
      </c>
      <c r="B83" s="71" t="s">
        <v>2877</v>
      </c>
      <c r="D83" s="69">
        <f>SUM(D84:D89)</f>
        <v>63409529</v>
      </c>
      <c r="E83" s="69">
        <f>SUM(E84:E89)</f>
        <v>102819945</v>
      </c>
    </row>
    <row r="84" spans="1:7" s="72" customFormat="1" ht="12.75">
      <c r="A84" s="72">
        <v>5101</v>
      </c>
      <c r="B84" s="72" t="s">
        <v>2878</v>
      </c>
      <c r="D84" s="265">
        <f>'[1]CONSOLIDADO CHIP'!H435</f>
        <v>16623220</v>
      </c>
      <c r="E84" s="265">
        <v>15792231</v>
      </c>
      <c r="G84" s="265"/>
    </row>
    <row r="85" spans="1:5" s="72" customFormat="1" ht="12.75">
      <c r="A85" s="72">
        <v>5102</v>
      </c>
      <c r="B85" s="72" t="s">
        <v>2879</v>
      </c>
      <c r="D85" s="265">
        <f>'[1]CONSOLIDADO CHIP'!H463</f>
        <v>21559</v>
      </c>
      <c r="E85" s="265">
        <v>34940099</v>
      </c>
    </row>
    <row r="86" spans="1:5" s="72" customFormat="1" ht="12.75">
      <c r="A86" s="72">
        <v>5103</v>
      </c>
      <c r="B86" s="72" t="s">
        <v>2880</v>
      </c>
      <c r="D86" s="265">
        <f>'[1]CONSOLIDADO CHIP'!H468</f>
        <v>2182756</v>
      </c>
      <c r="E86" s="265">
        <v>2384842</v>
      </c>
    </row>
    <row r="87" spans="1:5" s="72" customFormat="1" ht="12.75">
      <c r="A87" s="72">
        <v>5104</v>
      </c>
      <c r="B87" s="72" t="s">
        <v>2881</v>
      </c>
      <c r="D87" s="265">
        <f>'[1]CONSOLIDADO CHIP'!H476</f>
        <v>11009299</v>
      </c>
      <c r="E87" s="265">
        <v>3254244</v>
      </c>
    </row>
    <row r="88" spans="1:5" s="72" customFormat="1" ht="12.75">
      <c r="A88" s="72">
        <v>5111</v>
      </c>
      <c r="B88" s="72" t="s">
        <v>1799</v>
      </c>
      <c r="D88" s="265">
        <f>'[1]CONSOLIDADO CHIP'!H481</f>
        <v>4036198</v>
      </c>
      <c r="E88" s="265">
        <v>21852656</v>
      </c>
    </row>
    <row r="89" spans="1:5" s="72" customFormat="1" ht="12.75">
      <c r="A89" s="72">
        <v>5120</v>
      </c>
      <c r="B89" s="72" t="s">
        <v>2882</v>
      </c>
      <c r="D89" s="265">
        <f>+'[1]CONSOLIDADO CHIP'!H514</f>
        <v>29536497</v>
      </c>
      <c r="E89" s="265">
        <v>24595873</v>
      </c>
    </row>
    <row r="90" spans="4:5" s="72" customFormat="1" ht="12.75">
      <c r="D90" s="265"/>
      <c r="E90" s="265"/>
    </row>
    <row r="91" spans="1:5" s="72" customFormat="1" ht="12.75">
      <c r="A91" s="72">
        <v>52</v>
      </c>
      <c r="B91" s="71" t="s">
        <v>2883</v>
      </c>
      <c r="D91" s="69">
        <f>SUM(D92:D93)</f>
        <v>0</v>
      </c>
      <c r="E91" s="69">
        <f>SUM(E92:E93)</f>
        <v>0</v>
      </c>
    </row>
    <row r="92" spans="1:5" s="72" customFormat="1" ht="12.75">
      <c r="A92" s="72">
        <v>5205</v>
      </c>
      <c r="B92" s="72" t="s">
        <v>2884</v>
      </c>
      <c r="D92" s="265">
        <v>0</v>
      </c>
      <c r="E92" s="265">
        <v>0</v>
      </c>
    </row>
    <row r="93" spans="1:5" s="72" customFormat="1" ht="12.75">
      <c r="A93" s="72">
        <v>5210</v>
      </c>
      <c r="B93" s="72" t="s">
        <v>1799</v>
      </c>
      <c r="D93" s="265">
        <v>0</v>
      </c>
      <c r="E93" s="265">
        <v>0</v>
      </c>
    </row>
    <row r="94" spans="4:5" s="72" customFormat="1" ht="12.75">
      <c r="D94" s="265"/>
      <c r="E94" s="265"/>
    </row>
    <row r="95" spans="1:5" s="72" customFormat="1" ht="12.75">
      <c r="A95" s="72">
        <v>53</v>
      </c>
      <c r="B95" s="71" t="s">
        <v>2885</v>
      </c>
      <c r="D95" s="69">
        <f>SUM(D96:D101)</f>
        <v>4403943</v>
      </c>
      <c r="E95" s="69">
        <f>SUM(E96:E101)</f>
        <v>5453760</v>
      </c>
    </row>
    <row r="96" spans="1:5" s="72" customFormat="1" ht="12.75">
      <c r="A96" s="72">
        <v>5304</v>
      </c>
      <c r="B96" s="72" t="s">
        <v>2678</v>
      </c>
      <c r="D96" s="265">
        <v>0</v>
      </c>
      <c r="E96" s="265">
        <v>1831</v>
      </c>
    </row>
    <row r="97" spans="1:5" s="72" customFormat="1" ht="12.75">
      <c r="A97" s="72">
        <v>5310</v>
      </c>
      <c r="B97" s="72" t="s">
        <v>2886</v>
      </c>
      <c r="D97" s="265">
        <v>0</v>
      </c>
      <c r="E97" s="265">
        <v>0</v>
      </c>
    </row>
    <row r="98" spans="1:5" s="72" customFormat="1" ht="12.75">
      <c r="A98" s="72">
        <v>5314</v>
      </c>
      <c r="B98" s="72" t="s">
        <v>2710</v>
      </c>
      <c r="D98" s="265">
        <f>'[1]CONSOLIDADO CHIP'!H539</f>
        <v>2495065</v>
      </c>
      <c r="E98" s="265">
        <v>1189576</v>
      </c>
    </row>
    <row r="99" spans="1:5" s="72" customFormat="1" ht="12.75">
      <c r="A99" s="72">
        <v>5330</v>
      </c>
      <c r="B99" s="72" t="s">
        <v>2887</v>
      </c>
      <c r="D99" s="265">
        <f>'[1]CONSOLIDADO CHIP'!H541</f>
        <v>1513769</v>
      </c>
      <c r="E99" s="265">
        <v>3749445</v>
      </c>
    </row>
    <row r="100" spans="1:5" s="72" customFormat="1" ht="12.75">
      <c r="A100" s="72">
        <v>5344</v>
      </c>
      <c r="B100" s="72" t="s">
        <v>2888</v>
      </c>
      <c r="D100" s="265">
        <v>0</v>
      </c>
      <c r="E100" s="265">
        <v>0</v>
      </c>
    </row>
    <row r="101" spans="1:5" s="72" customFormat="1" ht="12.75">
      <c r="A101" s="72">
        <v>5345</v>
      </c>
      <c r="B101" s="72" t="s">
        <v>2889</v>
      </c>
      <c r="D101" s="265">
        <f>'[1]CONSOLIDADO CHIP'!H551</f>
        <v>395109</v>
      </c>
      <c r="E101" s="265">
        <v>512908</v>
      </c>
    </row>
    <row r="102" spans="4:5" s="72" customFormat="1" ht="12.75">
      <c r="D102" s="265"/>
      <c r="E102" s="265"/>
    </row>
    <row r="103" spans="1:5" s="72" customFormat="1" ht="12.75">
      <c r="A103" s="72">
        <v>54</v>
      </c>
      <c r="B103" s="71" t="s">
        <v>2654</v>
      </c>
      <c r="D103" s="69">
        <f>SUM(D104:D114)</f>
        <v>12059090016</v>
      </c>
      <c r="E103" s="69">
        <f>SUM(E104:E114)</f>
        <v>11195647500</v>
      </c>
    </row>
    <row r="104" spans="1:5" s="72" customFormat="1" ht="12.75">
      <c r="A104" s="72">
        <v>5401</v>
      </c>
      <c r="B104" s="72" t="s">
        <v>2890</v>
      </c>
      <c r="D104" s="265">
        <f>'[1]CONSOLIDADO CHIP'!H555</f>
        <v>1179898</v>
      </c>
      <c r="E104" s="265">
        <v>3429324</v>
      </c>
    </row>
    <row r="105" spans="1:5" s="72" customFormat="1" ht="12.75">
      <c r="A105" s="72">
        <v>5403</v>
      </c>
      <c r="B105" s="72" t="s">
        <v>2891</v>
      </c>
      <c r="D105" s="265">
        <f>'[1]CONSOLIDADO CHIP'!H561</f>
        <v>2846808877</v>
      </c>
      <c r="E105" s="265">
        <v>2612266442</v>
      </c>
    </row>
    <row r="106" spans="1:5" s="72" customFormat="1" ht="12.75">
      <c r="A106" s="72">
        <v>5404</v>
      </c>
      <c r="B106" s="72" t="s">
        <v>2892</v>
      </c>
      <c r="D106" s="265">
        <v>0</v>
      </c>
      <c r="E106" s="265">
        <v>0</v>
      </c>
    </row>
    <row r="107" spans="1:5" s="72" customFormat="1" ht="12.75">
      <c r="A107" s="72">
        <v>5407</v>
      </c>
      <c r="B107" s="72" t="s">
        <v>920</v>
      </c>
      <c r="D107" s="265">
        <v>0</v>
      </c>
      <c r="E107" s="265">
        <v>0</v>
      </c>
    </row>
    <row r="108" spans="1:5" s="72" customFormat="1" ht="12.75">
      <c r="A108" s="72">
        <v>5408</v>
      </c>
      <c r="B108" s="72" t="s">
        <v>2893</v>
      </c>
      <c r="D108" s="265">
        <f>'[1]CONSOLIDADO CHIP'!H588</f>
        <v>9211101241</v>
      </c>
      <c r="E108" s="265">
        <v>8579951734</v>
      </c>
    </row>
    <row r="109" spans="1:5" s="72" customFormat="1" ht="12.75">
      <c r="A109" s="72">
        <v>5411</v>
      </c>
      <c r="B109" s="72" t="s">
        <v>2894</v>
      </c>
      <c r="D109" s="265">
        <f>'[3]CONSOLIDADO'!F577</f>
        <v>0</v>
      </c>
      <c r="E109" s="265">
        <v>0</v>
      </c>
    </row>
    <row r="110" spans="1:5" s="72" customFormat="1" ht="12.75">
      <c r="A110" s="72">
        <v>5415</v>
      </c>
      <c r="B110" s="72" t="s">
        <v>2895</v>
      </c>
      <c r="D110" s="265">
        <v>0</v>
      </c>
      <c r="E110" s="265">
        <v>0</v>
      </c>
    </row>
    <row r="111" spans="1:5" s="72" customFormat="1" ht="12.75">
      <c r="A111" s="72">
        <v>5417</v>
      </c>
      <c r="B111" s="72" t="s">
        <v>2896</v>
      </c>
      <c r="D111" s="265">
        <v>0</v>
      </c>
      <c r="E111" s="265">
        <v>0</v>
      </c>
    </row>
    <row r="112" spans="1:5" s="72" customFormat="1" ht="12.75">
      <c r="A112" s="72">
        <v>5419</v>
      </c>
      <c r="B112" s="72" t="s">
        <v>2897</v>
      </c>
      <c r="D112" s="265">
        <v>0</v>
      </c>
      <c r="E112" s="265">
        <v>0</v>
      </c>
    </row>
    <row r="113" spans="1:5" s="72" customFormat="1" ht="12.75">
      <c r="A113" s="72">
        <v>5420</v>
      </c>
      <c r="B113" s="72" t="s">
        <v>2898</v>
      </c>
      <c r="D113" s="265">
        <v>0</v>
      </c>
      <c r="E113" s="265">
        <v>0</v>
      </c>
    </row>
    <row r="114" spans="1:5" s="72" customFormat="1" ht="12.75">
      <c r="A114" s="72">
        <v>5425</v>
      </c>
      <c r="B114" s="72" t="s">
        <v>2867</v>
      </c>
      <c r="D114" s="265">
        <v>0</v>
      </c>
      <c r="E114" s="265">
        <v>0</v>
      </c>
    </row>
    <row r="115" spans="4:5" s="72" customFormat="1" ht="12.75">
      <c r="D115" s="265"/>
      <c r="E115" s="265"/>
    </row>
    <row r="116" spans="1:5" s="72" customFormat="1" ht="12.75">
      <c r="A116" s="71">
        <v>55</v>
      </c>
      <c r="B116" s="71" t="s">
        <v>2899</v>
      </c>
      <c r="D116" s="69">
        <f>SUM(D117:D118)</f>
        <v>0</v>
      </c>
      <c r="E116" s="69">
        <f>SUM(E117:E118)</f>
        <v>0</v>
      </c>
    </row>
    <row r="117" spans="1:5" s="72" customFormat="1" ht="12.75">
      <c r="A117" s="72">
        <v>5501</v>
      </c>
      <c r="B117" s="72" t="s">
        <v>944</v>
      </c>
      <c r="D117" s="265">
        <v>0</v>
      </c>
      <c r="E117" s="265">
        <v>0</v>
      </c>
    </row>
    <row r="118" spans="1:5" s="72" customFormat="1" ht="12.75">
      <c r="A118" s="72">
        <v>5550</v>
      </c>
      <c r="B118" s="72" t="s">
        <v>2664</v>
      </c>
      <c r="D118" s="265">
        <v>0</v>
      </c>
      <c r="E118" s="265">
        <v>0</v>
      </c>
    </row>
    <row r="119" spans="4:5" s="72" customFormat="1" ht="12.75">
      <c r="D119" s="265"/>
      <c r="E119" s="265"/>
    </row>
    <row r="120" spans="1:5" s="72" customFormat="1" ht="12.75">
      <c r="A120" s="71">
        <v>56</v>
      </c>
      <c r="B120" s="71" t="s">
        <v>2900</v>
      </c>
      <c r="D120" s="69">
        <f>SUM(D121:D121)</f>
        <v>262611344</v>
      </c>
      <c r="E120" s="69">
        <f>+E121</f>
        <v>75147186</v>
      </c>
    </row>
    <row r="121" spans="1:5" s="72" customFormat="1" ht="12.75">
      <c r="A121" s="72">
        <v>5602</v>
      </c>
      <c r="B121" s="72" t="s">
        <v>2901</v>
      </c>
      <c r="D121" s="265">
        <f>'[1]CONSOLIDADO CHIP'!H612</f>
        <v>262611344</v>
      </c>
      <c r="E121" s="265">
        <v>75147186</v>
      </c>
    </row>
    <row r="122" spans="4:5" s="72" customFormat="1" ht="12.75">
      <c r="D122" s="265"/>
      <c r="E122" s="265"/>
    </row>
    <row r="123" spans="1:5" s="72" customFormat="1" ht="12.75">
      <c r="A123" s="72">
        <v>57</v>
      </c>
      <c r="B123" s="71" t="s">
        <v>2902</v>
      </c>
      <c r="D123" s="69">
        <f>SUM(D124:D127)</f>
        <v>28797983</v>
      </c>
      <c r="E123" s="69">
        <f>SUM(E124:E127)</f>
        <v>10957965</v>
      </c>
    </row>
    <row r="124" spans="1:5" s="72" customFormat="1" ht="12.75">
      <c r="A124" s="72">
        <v>5705</v>
      </c>
      <c r="B124" s="72" t="s">
        <v>2903</v>
      </c>
      <c r="D124" s="265">
        <f>'[1]CONSOLIDADO CHIP'!H627</f>
        <v>0</v>
      </c>
      <c r="E124" s="265">
        <v>42145</v>
      </c>
    </row>
    <row r="125" spans="1:5" s="72" customFormat="1" ht="12.75">
      <c r="A125" s="72">
        <v>5720</v>
      </c>
      <c r="B125" s="72" t="s">
        <v>2904</v>
      </c>
      <c r="D125" s="265">
        <f>'[1]CONSOLIDADO CHIP'!H634</f>
        <v>28797983</v>
      </c>
      <c r="E125" s="265">
        <v>10915820</v>
      </c>
    </row>
    <row r="126" spans="1:5" s="72" customFormat="1" ht="12.75">
      <c r="A126" s="72">
        <v>5722</v>
      </c>
      <c r="B126" s="72" t="s">
        <v>2872</v>
      </c>
      <c r="D126" s="265">
        <f>'[1]CONSOLIDADO CHIP'!H636</f>
        <v>0</v>
      </c>
      <c r="E126" s="265">
        <v>0</v>
      </c>
    </row>
    <row r="127" spans="1:5" s="72" customFormat="1" ht="12.75">
      <c r="A127" s="72">
        <v>5725</v>
      </c>
      <c r="B127" s="72" t="s">
        <v>2905</v>
      </c>
      <c r="D127" s="265">
        <v>0</v>
      </c>
      <c r="E127" s="265">
        <v>0</v>
      </c>
    </row>
    <row r="128" spans="4:5" s="72" customFormat="1" ht="12.75">
      <c r="D128" s="265"/>
      <c r="E128" s="265"/>
    </row>
    <row r="129" spans="2:5" s="72" customFormat="1" ht="12.75">
      <c r="B129" s="71" t="s">
        <v>2906</v>
      </c>
      <c r="D129" s="69">
        <f>+D12+D61+D81</f>
        <v>29228965</v>
      </c>
      <c r="E129" s="69">
        <f>+E12+E61+E81</f>
        <v>233982431</v>
      </c>
    </row>
    <row r="130" spans="4:5" s="72" customFormat="1" ht="12.75">
      <c r="D130" s="265"/>
      <c r="E130" s="265"/>
    </row>
    <row r="131" spans="1:7" s="72" customFormat="1" ht="12.75">
      <c r="A131" s="72">
        <v>48</v>
      </c>
      <c r="B131" s="71" t="s">
        <v>2907</v>
      </c>
      <c r="D131" s="69">
        <f>SUM(D132:D135)</f>
        <v>291726086</v>
      </c>
      <c r="E131" s="69">
        <f>SUM(E132:E135)</f>
        <v>188752131</v>
      </c>
      <c r="F131" s="265"/>
      <c r="G131" s="265"/>
    </row>
    <row r="132" spans="1:6" s="72" customFormat="1" ht="12.75">
      <c r="A132" s="72">
        <v>4805</v>
      </c>
      <c r="B132" s="72" t="s">
        <v>1653</v>
      </c>
      <c r="D132" s="265">
        <f>'[1]CONSOLIDADO CHIP'!H402</f>
        <v>39983514</v>
      </c>
      <c r="E132" s="265">
        <v>29409405</v>
      </c>
      <c r="F132" s="265"/>
    </row>
    <row r="133" spans="1:6" s="72" customFormat="1" ht="12.75">
      <c r="A133" s="72">
        <v>4807</v>
      </c>
      <c r="B133" s="72" t="s">
        <v>2908</v>
      </c>
      <c r="D133" s="265">
        <v>0</v>
      </c>
      <c r="E133" s="265">
        <v>0</v>
      </c>
      <c r="F133" s="265"/>
    </row>
    <row r="134" spans="1:5" s="72" customFormat="1" ht="12.75">
      <c r="A134" s="72">
        <v>4810</v>
      </c>
      <c r="B134" s="72" t="s">
        <v>1827</v>
      </c>
      <c r="D134" s="265">
        <f>'[1]CONSOLIDADO CHIP'!H412</f>
        <v>1233744</v>
      </c>
      <c r="E134" s="265">
        <v>4962970</v>
      </c>
    </row>
    <row r="135" spans="1:5" s="72" customFormat="1" ht="12.75">
      <c r="A135" s="72">
        <v>4815</v>
      </c>
      <c r="B135" s="72" t="s">
        <v>2909</v>
      </c>
      <c r="D135" s="265">
        <f>'[1]CONSOLIDADO CHIP'!H424</f>
        <v>250508828</v>
      </c>
      <c r="E135" s="265">
        <v>154379756</v>
      </c>
    </row>
    <row r="136" spans="4:5" s="72" customFormat="1" ht="12.75">
      <c r="D136" s="265"/>
      <c r="E136" s="265"/>
    </row>
    <row r="137" spans="2:5" s="72" customFormat="1" ht="12.75">
      <c r="B137" s="71" t="s">
        <v>2910</v>
      </c>
      <c r="D137" s="265"/>
      <c r="E137" s="265"/>
    </row>
    <row r="138" spans="2:5" s="72" customFormat="1" ht="12.75">
      <c r="B138" s="71" t="s">
        <v>2911</v>
      </c>
      <c r="D138" s="265"/>
      <c r="E138" s="265"/>
    </row>
    <row r="139" spans="4:6" s="72" customFormat="1" ht="12.75">
      <c r="D139" s="265"/>
      <c r="E139" s="265"/>
      <c r="F139" s="265"/>
    </row>
    <row r="140" spans="1:6" s="72" customFormat="1" ht="12.75">
      <c r="A140" s="72">
        <v>58</v>
      </c>
      <c r="B140" s="71" t="s">
        <v>2912</v>
      </c>
      <c r="D140" s="69">
        <f>-SUM(D141:D145)</f>
        <v>-409883449</v>
      </c>
      <c r="E140" s="69">
        <f>-SUM(E141:E145)</f>
        <v>-73403784</v>
      </c>
      <c r="F140" s="265"/>
    </row>
    <row r="141" spans="1:6" s="72" customFormat="1" ht="12.75">
      <c r="A141" s="72">
        <v>5801</v>
      </c>
      <c r="B141" s="72" t="s">
        <v>1826</v>
      </c>
      <c r="D141" s="265">
        <f>'[1]CONSOLIDADO CHIP'!H641</f>
        <v>0</v>
      </c>
      <c r="E141" s="265">
        <v>15</v>
      </c>
      <c r="F141" s="265"/>
    </row>
    <row r="142" spans="1:6" s="72" customFormat="1" ht="12.75">
      <c r="A142" s="72">
        <v>5805</v>
      </c>
      <c r="B142" s="72" t="s">
        <v>1653</v>
      </c>
      <c r="D142" s="265">
        <f>'[1]CONSOLIDADO CHIP'!H644</f>
        <v>19581</v>
      </c>
      <c r="E142" s="265">
        <v>16593</v>
      </c>
      <c r="F142" s="265"/>
    </row>
    <row r="143" spans="1:6" s="72" customFormat="1" ht="12.75">
      <c r="A143" s="72">
        <v>5806</v>
      </c>
      <c r="B143" s="72" t="s">
        <v>2913</v>
      </c>
      <c r="D143" s="265">
        <v>0</v>
      </c>
      <c r="E143" s="265">
        <v>0</v>
      </c>
      <c r="F143" s="265"/>
    </row>
    <row r="144" spans="1:5" s="72" customFormat="1" ht="12.75">
      <c r="A144" s="72">
        <v>5810</v>
      </c>
      <c r="B144" s="72" t="s">
        <v>1827</v>
      </c>
      <c r="D144" s="265">
        <f>'[1]CONSOLIDADO CHIP'!H647</f>
        <v>1005694</v>
      </c>
      <c r="E144" s="265">
        <v>1648175</v>
      </c>
    </row>
    <row r="145" spans="1:5" s="72" customFormat="1" ht="12.75">
      <c r="A145" s="72">
        <v>5815</v>
      </c>
      <c r="B145" s="72" t="s">
        <v>2914</v>
      </c>
      <c r="D145" s="265">
        <f>'[1]CONSOLIDADO CHIP'!H651</f>
        <v>408858174</v>
      </c>
      <c r="E145" s="265">
        <v>71739001</v>
      </c>
    </row>
    <row r="146" spans="4:5" s="72" customFormat="1" ht="12.75">
      <c r="D146" s="265"/>
      <c r="E146" s="265"/>
    </row>
    <row r="147" spans="2:5" s="72" customFormat="1" ht="12.75">
      <c r="B147" s="71" t="s">
        <v>2915</v>
      </c>
      <c r="D147" s="69">
        <f>+D129+D131+D137+D140</f>
        <v>-88928398</v>
      </c>
      <c r="E147" s="69">
        <f>+E129+E131+E137+E140</f>
        <v>349330778</v>
      </c>
    </row>
    <row r="148" spans="4:5" s="72" customFormat="1" ht="12.75">
      <c r="D148" s="265"/>
      <c r="E148" s="265"/>
    </row>
    <row r="149" spans="2:6" s="72" customFormat="1" ht="12.75">
      <c r="B149" s="71" t="s">
        <v>2916</v>
      </c>
      <c r="D149" s="69">
        <f>D150</f>
        <v>0</v>
      </c>
      <c r="E149" s="69">
        <f>E150</f>
        <v>0</v>
      </c>
      <c r="F149" s="265"/>
    </row>
    <row r="150" spans="1:7" s="72" customFormat="1" ht="12.75">
      <c r="A150" s="72">
        <v>4905</v>
      </c>
      <c r="B150" s="72" t="s">
        <v>2917</v>
      </c>
      <c r="D150" s="265">
        <v>0</v>
      </c>
      <c r="E150" s="265">
        <v>0</v>
      </c>
      <c r="G150" s="266"/>
    </row>
    <row r="151" spans="4:7" s="72" customFormat="1" ht="12.75">
      <c r="D151" s="265"/>
      <c r="E151" s="265"/>
      <c r="G151" s="266"/>
    </row>
    <row r="152" spans="2:7" s="72" customFormat="1" ht="12.75">
      <c r="B152" s="71" t="s">
        <v>2918</v>
      </c>
      <c r="D152" s="265"/>
      <c r="E152" s="265"/>
      <c r="G152" s="267"/>
    </row>
    <row r="153" spans="2:5" s="72" customFormat="1" ht="12.75">
      <c r="B153" s="71" t="s">
        <v>2919</v>
      </c>
      <c r="D153" s="265"/>
      <c r="E153" s="265"/>
    </row>
    <row r="154" spans="4:5" s="72" customFormat="1" ht="12.75">
      <c r="D154" s="265"/>
      <c r="E154" s="265"/>
    </row>
    <row r="155" spans="2:5" s="72" customFormat="1" ht="12.75">
      <c r="B155" s="71" t="s">
        <v>2920</v>
      </c>
      <c r="D155" s="69">
        <f>+D129+D131+D140</f>
        <v>-88928398</v>
      </c>
      <c r="E155" s="69">
        <f>+E129+E131+E140</f>
        <v>349330778</v>
      </c>
    </row>
    <row r="156" spans="2:5" s="72" customFormat="1" ht="12.75">
      <c r="B156" s="71"/>
      <c r="D156" s="265"/>
      <c r="E156" s="265"/>
    </row>
    <row r="157" spans="4:7" s="72" customFormat="1" ht="12.75">
      <c r="D157" s="265"/>
      <c r="E157" s="265"/>
      <c r="F157" s="265"/>
      <c r="G157" s="265"/>
    </row>
    <row r="158" spans="4:5" s="72" customFormat="1" ht="12.75">
      <c r="D158" s="265"/>
      <c r="E158" s="265"/>
    </row>
    <row r="159" spans="4:5" s="72" customFormat="1" ht="12.75">
      <c r="D159" s="265"/>
      <c r="E159" s="265"/>
    </row>
    <row r="160" spans="3:5" s="72" customFormat="1" ht="12.75">
      <c r="C160" s="265"/>
      <c r="D160" s="265"/>
      <c r="E160" s="265"/>
    </row>
    <row r="161" spans="2:5" s="72" customFormat="1" ht="12.75">
      <c r="B161" s="71" t="s">
        <v>2609</v>
      </c>
      <c r="C161" s="71" t="s">
        <v>2829</v>
      </c>
      <c r="D161" s="306" t="s">
        <v>2921</v>
      </c>
      <c r="E161" s="306"/>
    </row>
    <row r="162" spans="2:5" s="72" customFormat="1" ht="12.75" customHeight="1">
      <c r="B162" s="72" t="s">
        <v>2922</v>
      </c>
      <c r="C162" s="72" t="s">
        <v>2923</v>
      </c>
      <c r="D162" s="72" t="s">
        <v>2924</v>
      </c>
      <c r="E162" s="72" t="s">
        <v>2829</v>
      </c>
    </row>
    <row r="163" spans="3:5" s="72" customFormat="1" ht="12.75">
      <c r="C163" s="72" t="s">
        <v>2829</v>
      </c>
      <c r="D163" s="72" t="s">
        <v>2829</v>
      </c>
      <c r="E163" s="72" t="s">
        <v>2829</v>
      </c>
    </row>
    <row r="164" spans="4:5" s="72" customFormat="1" ht="12.75">
      <c r="D164" s="265"/>
      <c r="E164" s="265"/>
    </row>
    <row r="165" spans="2:5" s="72" customFormat="1" ht="12.75">
      <c r="B165" s="71" t="s">
        <v>2829</v>
      </c>
      <c r="D165" s="265"/>
      <c r="E165" s="265"/>
    </row>
    <row r="166" spans="2:5" s="72" customFormat="1" ht="22.5" customHeight="1">
      <c r="B166" s="71"/>
      <c r="D166" s="265"/>
      <c r="E166" s="265"/>
    </row>
    <row r="167" spans="2:5" s="72" customFormat="1" ht="12.75">
      <c r="B167" s="72" t="s">
        <v>2829</v>
      </c>
      <c r="D167" s="265"/>
      <c r="E167" s="265"/>
    </row>
    <row r="168" spans="2:5" s="72" customFormat="1" ht="12.75">
      <c r="B168" s="71" t="s">
        <v>2613</v>
      </c>
      <c r="C168" s="265"/>
      <c r="D168" s="265"/>
      <c r="E168" s="265"/>
    </row>
    <row r="169" spans="2:5" s="72" customFormat="1" ht="12.75">
      <c r="B169" s="72" t="s">
        <v>2614</v>
      </c>
      <c r="C169" s="265"/>
      <c r="D169" s="265"/>
      <c r="E169" s="265"/>
    </row>
    <row r="170" spans="2:5" s="72" customFormat="1" ht="12.75">
      <c r="B170" s="72" t="s">
        <v>2615</v>
      </c>
      <c r="C170" s="265"/>
      <c r="D170" s="265"/>
      <c r="E170" s="265"/>
    </row>
    <row r="171" s="72" customFormat="1" ht="12.75">
      <c r="E171" s="265"/>
    </row>
    <row r="172" s="72" customFormat="1" ht="12" customHeight="1">
      <c r="E172" s="265"/>
    </row>
    <row r="173" s="72" customFormat="1" ht="12.75">
      <c r="E173" s="265"/>
    </row>
    <row r="174" s="72" customFormat="1" ht="12.75">
      <c r="E174" s="265"/>
    </row>
    <row r="175" s="72" customFormat="1" ht="12.75">
      <c r="E175" s="265"/>
    </row>
    <row r="176" s="72" customFormat="1" ht="12.75">
      <c r="E176" s="265"/>
    </row>
    <row r="177" s="72" customFormat="1" ht="12.75">
      <c r="E177" s="265"/>
    </row>
    <row r="178" s="72" customFormat="1" ht="12.75">
      <c r="E178" s="265"/>
    </row>
    <row r="179" s="72" customFormat="1" ht="12.75">
      <c r="E179" s="265"/>
    </row>
    <row r="180" s="72" customFormat="1" ht="12.75">
      <c r="E180" s="265"/>
    </row>
    <row r="181" s="72" customFormat="1" ht="12.75">
      <c r="E181" s="265"/>
    </row>
    <row r="182" s="72" customFormat="1" ht="12.75">
      <c r="E182" s="265"/>
    </row>
    <row r="183" s="72" customFormat="1" ht="12.75">
      <c r="E183" s="265"/>
    </row>
    <row r="184" s="72" customFormat="1" ht="12.75">
      <c r="E184" s="265"/>
    </row>
    <row r="185" s="72" customFormat="1" ht="12.75">
      <c r="E185" s="265"/>
    </row>
    <row r="186" s="72" customFormat="1" ht="12.75">
      <c r="E186" s="265"/>
    </row>
    <row r="187" s="72" customFormat="1" ht="12.75">
      <c r="E187" s="265"/>
    </row>
    <row r="188" s="72" customFormat="1" ht="12.75">
      <c r="E188" s="265"/>
    </row>
    <row r="189" s="72" customFormat="1" ht="12.75">
      <c r="E189" s="265"/>
    </row>
    <row r="190" s="72" customFormat="1" ht="12.75">
      <c r="E190" s="265"/>
    </row>
    <row r="191" s="72" customFormat="1" ht="12.75">
      <c r="E191" s="265"/>
    </row>
    <row r="192" s="72" customFormat="1" ht="12.75">
      <c r="E192" s="265"/>
    </row>
    <row r="193" s="72" customFormat="1" ht="12.75">
      <c r="E193" s="265"/>
    </row>
    <row r="194" s="72" customFormat="1" ht="12.75">
      <c r="E194" s="265"/>
    </row>
    <row r="195" s="72" customFormat="1" ht="12.75">
      <c r="E195" s="265"/>
    </row>
    <row r="196" s="72" customFormat="1" ht="12.75">
      <c r="E196" s="265"/>
    </row>
    <row r="197" s="72" customFormat="1" ht="12.75">
      <c r="E197" s="265"/>
    </row>
    <row r="198" s="72" customFormat="1" ht="12.75">
      <c r="E198" s="265"/>
    </row>
    <row r="199" s="72" customFormat="1" ht="12.75">
      <c r="E199" s="265"/>
    </row>
    <row r="200" s="72" customFormat="1" ht="12.75">
      <c r="E200" s="265"/>
    </row>
    <row r="201" s="72" customFormat="1" ht="12.75">
      <c r="E201" s="265"/>
    </row>
    <row r="202" s="72" customFormat="1" ht="12.75">
      <c r="E202" s="265"/>
    </row>
    <row r="203" s="72" customFormat="1" ht="12.75">
      <c r="E203" s="265"/>
    </row>
    <row r="204" s="72" customFormat="1" ht="12.75">
      <c r="E204" s="265"/>
    </row>
    <row r="205" s="72" customFormat="1" ht="12.75">
      <c r="E205" s="265"/>
    </row>
    <row r="206" s="72" customFormat="1" ht="12.75">
      <c r="E206" s="265"/>
    </row>
    <row r="207" s="72" customFormat="1" ht="12.75">
      <c r="E207" s="265"/>
    </row>
    <row r="208" s="72" customFormat="1" ht="12.75">
      <c r="E208" s="265"/>
    </row>
    <row r="209" s="72" customFormat="1" ht="12.75">
      <c r="E209" s="265"/>
    </row>
    <row r="210" s="72" customFormat="1" ht="12.75">
      <c r="E210" s="265"/>
    </row>
    <row r="211" s="72" customFormat="1" ht="12.75">
      <c r="E211" s="265"/>
    </row>
    <row r="212" s="72" customFormat="1" ht="12.75">
      <c r="E212" s="265"/>
    </row>
    <row r="213" s="72" customFormat="1" ht="12.75">
      <c r="E213" s="265"/>
    </row>
    <row r="214" s="72" customFormat="1" ht="12.75">
      <c r="E214" s="265"/>
    </row>
    <row r="215" s="72" customFormat="1" ht="12.75">
      <c r="E215" s="265"/>
    </row>
    <row r="216" s="72" customFormat="1" ht="12.75">
      <c r="E216" s="265"/>
    </row>
    <row r="217" s="72" customFormat="1" ht="12.75">
      <c r="E217" s="265"/>
    </row>
    <row r="218" s="72" customFormat="1" ht="12.75">
      <c r="E218" s="265"/>
    </row>
    <row r="219" s="72" customFormat="1" ht="12.75">
      <c r="E219" s="265"/>
    </row>
    <row r="220" s="72" customFormat="1" ht="12.75">
      <c r="E220" s="265"/>
    </row>
    <row r="221" s="72" customFormat="1" ht="12.75">
      <c r="E221" s="265"/>
    </row>
    <row r="222" s="72" customFormat="1" ht="12.75">
      <c r="E222" s="265"/>
    </row>
    <row r="223" s="72" customFormat="1" ht="12.75">
      <c r="E223" s="265"/>
    </row>
    <row r="224" s="72" customFormat="1" ht="12.75">
      <c r="E224" s="265"/>
    </row>
    <row r="225" s="72" customFormat="1" ht="12.75">
      <c r="E225" s="265"/>
    </row>
    <row r="226" s="72" customFormat="1" ht="12.75">
      <c r="E226" s="265"/>
    </row>
    <row r="227" s="72" customFormat="1" ht="12.75">
      <c r="E227" s="265"/>
    </row>
    <row r="228" s="72" customFormat="1" ht="12.75">
      <c r="E228" s="265"/>
    </row>
    <row r="229" s="72" customFormat="1" ht="12.75">
      <c r="E229" s="265"/>
    </row>
    <row r="230" s="72" customFormat="1" ht="12.75">
      <c r="E230" s="265"/>
    </row>
    <row r="231" s="72" customFormat="1" ht="12.75">
      <c r="E231" s="265"/>
    </row>
    <row r="232" s="72" customFormat="1" ht="12.75">
      <c r="E232" s="265"/>
    </row>
    <row r="233" s="72" customFormat="1" ht="12.75">
      <c r="E233" s="265"/>
    </row>
    <row r="234" s="72" customFormat="1" ht="12.75">
      <c r="E234" s="265"/>
    </row>
    <row r="235" s="72" customFormat="1" ht="12.75">
      <c r="E235" s="265"/>
    </row>
    <row r="236" s="72" customFormat="1" ht="12.75">
      <c r="E236" s="265"/>
    </row>
    <row r="237" s="72" customFormat="1" ht="12.75">
      <c r="E237" s="265"/>
    </row>
    <row r="238" s="72" customFormat="1" ht="12.75">
      <c r="E238" s="265"/>
    </row>
    <row r="239" s="72" customFormat="1" ht="12.75">
      <c r="E239" s="265"/>
    </row>
    <row r="240" s="72" customFormat="1" ht="12.75">
      <c r="E240" s="265"/>
    </row>
    <row r="241" s="72" customFormat="1" ht="12.75">
      <c r="E241" s="265"/>
    </row>
    <row r="242" s="72" customFormat="1" ht="12.75">
      <c r="E242" s="265"/>
    </row>
    <row r="243" s="72" customFormat="1" ht="12.75">
      <c r="E243" s="265"/>
    </row>
    <row r="244" s="72" customFormat="1" ht="12.75">
      <c r="E244" s="265"/>
    </row>
    <row r="245" s="72" customFormat="1" ht="12.75">
      <c r="E245" s="265"/>
    </row>
    <row r="246" s="72" customFormat="1" ht="12.75">
      <c r="E246" s="265"/>
    </row>
    <row r="247" s="72" customFormat="1" ht="12.75">
      <c r="E247" s="265"/>
    </row>
    <row r="248" s="72" customFormat="1" ht="12.75">
      <c r="E248" s="265"/>
    </row>
    <row r="249" s="72" customFormat="1" ht="12.75">
      <c r="E249" s="265"/>
    </row>
    <row r="250" s="72" customFormat="1" ht="12.75">
      <c r="E250" s="265"/>
    </row>
    <row r="251" s="72" customFormat="1" ht="12.75">
      <c r="E251" s="265"/>
    </row>
    <row r="252" s="72" customFormat="1" ht="12.75">
      <c r="E252" s="265"/>
    </row>
    <row r="253" s="72" customFormat="1" ht="12.75">
      <c r="E253" s="265"/>
    </row>
    <row r="254" s="72" customFormat="1" ht="12.75">
      <c r="E254" s="265"/>
    </row>
    <row r="255" s="72" customFormat="1" ht="12.75">
      <c r="E255" s="265"/>
    </row>
    <row r="256" s="72" customFormat="1" ht="12.75">
      <c r="E256" s="265"/>
    </row>
    <row r="257" s="72" customFormat="1" ht="12.75">
      <c r="E257" s="265"/>
    </row>
    <row r="258" s="72" customFormat="1" ht="12.75">
      <c r="E258" s="265"/>
    </row>
    <row r="259" s="72" customFormat="1" ht="12.75">
      <c r="E259" s="265"/>
    </row>
    <row r="260" s="72" customFormat="1" ht="12.75">
      <c r="E260" s="265"/>
    </row>
    <row r="261" s="72" customFormat="1" ht="12.75">
      <c r="E261" s="265"/>
    </row>
    <row r="262" s="72" customFormat="1" ht="12.75">
      <c r="E262" s="265"/>
    </row>
    <row r="263" s="72" customFormat="1" ht="12.75">
      <c r="E263" s="265"/>
    </row>
  </sheetData>
  <sheetProtection password="8D25" sheet="1" formatCells="0" formatColumns="0" formatRows="0" insertColumns="0" insertRows="0" insertHyperlinks="0" deleteColumns="0" deleteRows="0" sort="0" autoFilter="0" pivotTables="0"/>
  <mergeCells count="6">
    <mergeCell ref="A5:E5"/>
    <mergeCell ref="D161:E161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D59"/>
  <sheetViews>
    <sheetView workbookViewId="0" topLeftCell="A1">
      <selection activeCell="B23" sqref="B23"/>
    </sheetView>
  </sheetViews>
  <sheetFormatPr defaultColWidth="11.421875" defaultRowHeight="12.75"/>
  <cols>
    <col min="1" max="1" width="7.421875" style="73" bestFit="1" customWidth="1"/>
    <col min="2" max="2" width="57.140625" style="73" customWidth="1"/>
    <col min="3" max="3" width="17.00390625" style="73" customWidth="1"/>
    <col min="4" max="4" width="16.421875" style="79" customWidth="1"/>
    <col min="5" max="16384" width="11.421875" style="73" customWidth="1"/>
  </cols>
  <sheetData>
    <row r="1" spans="1:4" ht="12.75">
      <c r="A1" s="307" t="s">
        <v>2616</v>
      </c>
      <c r="B1" s="307"/>
      <c r="C1" s="307"/>
      <c r="D1" s="307"/>
    </row>
    <row r="2" spans="1:4" ht="12.75">
      <c r="A2" s="307" t="s">
        <v>2830</v>
      </c>
      <c r="B2" s="307"/>
      <c r="C2" s="307"/>
      <c r="D2" s="307"/>
    </row>
    <row r="3" spans="1:4" ht="12.75">
      <c r="A3" s="307" t="s">
        <v>2618</v>
      </c>
      <c r="B3" s="307"/>
      <c r="C3" s="307"/>
      <c r="D3" s="307"/>
    </row>
    <row r="4" spans="1:4" ht="12.75">
      <c r="A4" s="307" t="s">
        <v>2619</v>
      </c>
      <c r="B4" s="307"/>
      <c r="C4" s="307"/>
      <c r="D4" s="307"/>
    </row>
    <row r="5" spans="1:4" ht="12.75">
      <c r="A5" s="307" t="s">
        <v>2620</v>
      </c>
      <c r="B5" s="307"/>
      <c r="C5" s="307"/>
      <c r="D5" s="307"/>
    </row>
    <row r="6" spans="1:4" ht="12.75" customHeight="1">
      <c r="A6" s="74"/>
      <c r="B6" s="74"/>
      <c r="C6" s="75">
        <v>2006</v>
      </c>
      <c r="D6" s="75">
        <v>2005</v>
      </c>
    </row>
    <row r="7" spans="1:4" ht="12.75">
      <c r="A7" s="74"/>
      <c r="B7" s="74"/>
      <c r="C7" s="75" t="s">
        <v>2621</v>
      </c>
      <c r="D7" s="75" t="s">
        <v>2621</v>
      </c>
    </row>
    <row r="8" spans="1:4" ht="12.75">
      <c r="A8" s="76" t="s">
        <v>2622</v>
      </c>
      <c r="B8" s="76" t="s">
        <v>2831</v>
      </c>
      <c r="C8" s="75" t="s">
        <v>2623</v>
      </c>
      <c r="D8" s="75" t="s">
        <v>2623</v>
      </c>
    </row>
    <row r="9" spans="1:4" ht="12.75">
      <c r="A9" s="74"/>
      <c r="B9" s="74"/>
      <c r="C9" s="75" t="s">
        <v>2624</v>
      </c>
      <c r="D9" s="75" t="s">
        <v>2624</v>
      </c>
    </row>
    <row r="10" spans="2:4" ht="12.75">
      <c r="B10" s="77" t="s">
        <v>2832</v>
      </c>
      <c r="C10" s="78">
        <f>SUM(C11:C15)</f>
        <v>12447541780</v>
      </c>
      <c r="D10" s="78">
        <f>SUM(D11:D15)</f>
        <v>11624008787</v>
      </c>
    </row>
    <row r="11" spans="1:4" ht="12.75">
      <c r="A11" s="73">
        <v>41</v>
      </c>
      <c r="B11" s="73" t="s">
        <v>2833</v>
      </c>
      <c r="C11" s="79">
        <f>+'[1]G &amp; P CUENTA'!D13</f>
        <v>141479990</v>
      </c>
      <c r="D11" s="79">
        <f>+'[1]G &amp; P CUENTA'!E13</f>
        <v>114811155</v>
      </c>
    </row>
    <row r="12" spans="1:4" ht="12.75">
      <c r="A12" s="73">
        <v>42</v>
      </c>
      <c r="B12" s="73" t="s">
        <v>2838</v>
      </c>
      <c r="C12" s="79">
        <f>+'[1]G &amp; P CUENTA'!D20</f>
        <v>0</v>
      </c>
      <c r="D12" s="79">
        <f>+'[1]G &amp; P CUENTA'!E20</f>
        <v>0</v>
      </c>
    </row>
    <row r="13" spans="1:4" ht="12.75">
      <c r="A13" s="73">
        <v>43</v>
      </c>
      <c r="B13" s="73" t="s">
        <v>2842</v>
      </c>
      <c r="C13" s="79">
        <f>+'[1]G &amp; P CUENTA'!D25</f>
        <v>0</v>
      </c>
      <c r="D13" s="79">
        <f>+'[1]G &amp; P CUENTA'!E25</f>
        <v>3224640</v>
      </c>
    </row>
    <row r="14" spans="1:4" ht="12.75">
      <c r="A14" s="73">
        <v>44</v>
      </c>
      <c r="B14" s="73" t="s">
        <v>2654</v>
      </c>
      <c r="C14" s="79">
        <f>+'[1]G &amp; P CUENTA'!D44</f>
        <v>0</v>
      </c>
      <c r="D14" s="79">
        <f>+'[1]G &amp; P CUENTA'!E44</f>
        <v>1508902</v>
      </c>
    </row>
    <row r="15" spans="1:4" ht="12.75">
      <c r="A15" s="73">
        <v>47</v>
      </c>
      <c r="B15" s="73" t="s">
        <v>2869</v>
      </c>
      <c r="C15" s="79">
        <f>+'[1]G &amp; P CUENTA'!D55</f>
        <v>12306061790</v>
      </c>
      <c r="D15" s="79">
        <f>+'[1]G &amp; P CUENTA'!E55</f>
        <v>11504464090</v>
      </c>
    </row>
    <row r="16" ht="12.75">
      <c r="C16" s="79"/>
    </row>
    <row r="17" spans="2:4" ht="12.75">
      <c r="B17" s="77" t="s">
        <v>2874</v>
      </c>
      <c r="C17" s="78">
        <f>C18</f>
        <v>0</v>
      </c>
      <c r="D17" s="78">
        <f>D18</f>
        <v>0</v>
      </c>
    </row>
    <row r="18" spans="1:4" ht="12.75">
      <c r="A18" s="73">
        <v>61</v>
      </c>
      <c r="B18" s="73" t="s">
        <v>2875</v>
      </c>
      <c r="C18" s="79">
        <f>+'[1]G &amp; P CUENTA'!D62</f>
        <v>0</v>
      </c>
      <c r="D18" s="79">
        <f>'[5]G Y P POR GRUPO'!E61</f>
        <v>0</v>
      </c>
    </row>
    <row r="19" ht="12.75">
      <c r="C19" s="79"/>
    </row>
    <row r="20" spans="2:4" ht="12.75">
      <c r="B20" s="77" t="s">
        <v>2876</v>
      </c>
      <c r="C20" s="78">
        <f>-SUM(C21:C27)</f>
        <v>-12418312815</v>
      </c>
      <c r="D20" s="78">
        <f>-SUM(D21:D27)</f>
        <v>-11390026356</v>
      </c>
    </row>
    <row r="21" spans="1:4" ht="12.75">
      <c r="A21" s="73">
        <v>51</v>
      </c>
      <c r="B21" s="73" t="s">
        <v>2877</v>
      </c>
      <c r="C21" s="79">
        <f>+'[1]G &amp; P CUENTA'!D83</f>
        <v>63409529</v>
      </c>
      <c r="D21" s="79">
        <f>+'[1]G &amp; P CUENTA'!E83</f>
        <v>102819945</v>
      </c>
    </row>
    <row r="22" spans="1:4" ht="12.75">
      <c r="A22" s="73">
        <v>52</v>
      </c>
      <c r="B22" s="73" t="s">
        <v>2883</v>
      </c>
      <c r="C22" s="79">
        <f>+'[1]G &amp; P CUENTA'!D91</f>
        <v>0</v>
      </c>
      <c r="D22" s="79">
        <f>+'[1]G &amp; P CUENTA'!E91</f>
        <v>0</v>
      </c>
    </row>
    <row r="23" spans="1:4" ht="12.75">
      <c r="A23" s="73">
        <v>53</v>
      </c>
      <c r="B23" s="73" t="s">
        <v>2925</v>
      </c>
      <c r="C23" s="79">
        <f>+'[1]G &amp; P CUENTA'!D95</f>
        <v>4403943</v>
      </c>
      <c r="D23" s="79">
        <f>+'[1]G &amp; P CUENTA'!E95</f>
        <v>5453760</v>
      </c>
    </row>
    <row r="24" spans="1:4" ht="12.75">
      <c r="A24" s="73">
        <v>54</v>
      </c>
      <c r="B24" s="73" t="s">
        <v>2654</v>
      </c>
      <c r="C24" s="79">
        <f>+'[1]G &amp; P CUENTA'!D103</f>
        <v>12059090016</v>
      </c>
      <c r="D24" s="79">
        <f>+'[1]G &amp; P CUENTA'!E103</f>
        <v>11195647500</v>
      </c>
    </row>
    <row r="25" spans="1:4" ht="12.75">
      <c r="A25" s="73">
        <v>55</v>
      </c>
      <c r="B25" s="73" t="s">
        <v>2899</v>
      </c>
      <c r="C25" s="79">
        <f>+'[1]G &amp; P CUENTA'!D116</f>
        <v>0</v>
      </c>
      <c r="D25" s="79">
        <f>+'[1]G &amp; P CUENTA'!E116</f>
        <v>0</v>
      </c>
    </row>
    <row r="26" spans="1:4" ht="12.75">
      <c r="A26" s="73">
        <v>56</v>
      </c>
      <c r="B26" s="73" t="s">
        <v>235</v>
      </c>
      <c r="C26" s="79">
        <f>+'[1]G &amp; P CUENTA'!D120</f>
        <v>262611344</v>
      </c>
      <c r="D26" s="79">
        <f>+'[1]G &amp; P CUENTA'!E120</f>
        <v>75147186</v>
      </c>
    </row>
    <row r="27" spans="1:4" ht="12.75">
      <c r="A27" s="73">
        <v>57</v>
      </c>
      <c r="B27" s="73" t="s">
        <v>2902</v>
      </c>
      <c r="C27" s="79">
        <f>+'[1]G &amp; P CUENTA'!D123</f>
        <v>28797983</v>
      </c>
      <c r="D27" s="79">
        <f>+'[1]G &amp; P CUENTA'!E123</f>
        <v>10957965</v>
      </c>
    </row>
    <row r="28" ht="12.75">
      <c r="C28" s="79"/>
    </row>
    <row r="29" spans="2:4" ht="12.75">
      <c r="B29" s="77" t="s">
        <v>2906</v>
      </c>
      <c r="C29" s="78">
        <f>C10+C17+C20</f>
        <v>29228965</v>
      </c>
      <c r="D29" s="78">
        <f>D10+D17+D20</f>
        <v>233982431</v>
      </c>
    </row>
    <row r="30" ht="12.75">
      <c r="C30" s="79"/>
    </row>
    <row r="31" spans="2:4" ht="12.75">
      <c r="B31" s="77" t="s">
        <v>2907</v>
      </c>
      <c r="C31" s="78">
        <f>C32</f>
        <v>291726086</v>
      </c>
      <c r="D31" s="78">
        <f>D32</f>
        <v>188752131</v>
      </c>
    </row>
    <row r="32" spans="1:4" ht="12.75">
      <c r="A32" s="73">
        <v>48</v>
      </c>
      <c r="B32" s="73" t="s">
        <v>236</v>
      </c>
      <c r="C32" s="79">
        <f>+'[1]G &amp; P CUENTA'!D131</f>
        <v>291726086</v>
      </c>
      <c r="D32" s="79">
        <f>+'[1]G &amp; P CUENTA'!E131</f>
        <v>188752131</v>
      </c>
    </row>
    <row r="33" ht="12.75">
      <c r="C33" s="79"/>
    </row>
    <row r="34" spans="2:3" ht="25.5">
      <c r="B34" s="80" t="s">
        <v>237</v>
      </c>
      <c r="C34" s="79"/>
    </row>
    <row r="35" ht="12.75">
      <c r="C35" s="79"/>
    </row>
    <row r="36" spans="2:4" ht="12.75">
      <c r="B36" s="77" t="s">
        <v>2912</v>
      </c>
      <c r="C36" s="78">
        <f>C37</f>
        <v>-409883449</v>
      </c>
      <c r="D36" s="78">
        <f>D37</f>
        <v>-73403784</v>
      </c>
    </row>
    <row r="37" spans="1:4" ht="12.75">
      <c r="A37" s="73">
        <v>58</v>
      </c>
      <c r="B37" s="73" t="s">
        <v>238</v>
      </c>
      <c r="C37" s="79">
        <f>+'[1]G &amp; P CUENTA'!D140</f>
        <v>-409883449</v>
      </c>
      <c r="D37" s="79">
        <f>+'[1]G &amp; P CUENTA'!E140</f>
        <v>-73403784</v>
      </c>
    </row>
    <row r="38" ht="12.75">
      <c r="C38" s="79"/>
    </row>
    <row r="39" spans="2:4" ht="12.75">
      <c r="B39" s="77" t="s">
        <v>2915</v>
      </c>
      <c r="C39" s="78">
        <f>C29+C31+C36</f>
        <v>-88928398</v>
      </c>
      <c r="D39" s="78">
        <f>D29+D31+D36</f>
        <v>349330778</v>
      </c>
    </row>
    <row r="40" ht="12.75">
      <c r="C40" s="79"/>
    </row>
    <row r="41" spans="2:4" ht="12.75">
      <c r="B41" s="77" t="s">
        <v>2916</v>
      </c>
      <c r="C41" s="78">
        <f>C42</f>
        <v>0</v>
      </c>
      <c r="D41" s="78">
        <f>D42</f>
        <v>0</v>
      </c>
    </row>
    <row r="42" spans="1:4" ht="12.75">
      <c r="A42" s="73">
        <v>49</v>
      </c>
      <c r="B42" s="73" t="s">
        <v>2917</v>
      </c>
      <c r="C42" s="79">
        <f>+'[1]G &amp; P CUENTA'!D150</f>
        <v>0</v>
      </c>
      <c r="D42" s="79">
        <f>+'[1]G &amp; P CUENTA'!E150</f>
        <v>0</v>
      </c>
    </row>
    <row r="43" ht="12.75">
      <c r="C43" s="79"/>
    </row>
    <row r="44" spans="2:3" ht="25.5">
      <c r="B44" s="80" t="s">
        <v>239</v>
      </c>
      <c r="C44" s="79"/>
    </row>
    <row r="45" ht="12.75">
      <c r="C45" s="79"/>
    </row>
    <row r="46" spans="2:4" ht="12.75">
      <c r="B46" s="77" t="s">
        <v>240</v>
      </c>
      <c r="C46" s="78">
        <f>+C39-C41</f>
        <v>-88928398</v>
      </c>
      <c r="D46" s="78">
        <f>+D39-D41</f>
        <v>349330778</v>
      </c>
    </row>
    <row r="47" ht="12.75">
      <c r="D47" s="73"/>
    </row>
    <row r="48" ht="12.75">
      <c r="D48" s="73"/>
    </row>
    <row r="50" ht="12.75">
      <c r="C50" s="79"/>
    </row>
    <row r="51" spans="2:4" ht="12.75">
      <c r="B51" s="77" t="s">
        <v>2609</v>
      </c>
      <c r="C51" s="308" t="s">
        <v>2921</v>
      </c>
      <c r="D51" s="308"/>
    </row>
    <row r="52" spans="2:4" ht="12.75">
      <c r="B52" s="73" t="s">
        <v>2922</v>
      </c>
      <c r="C52" s="309" t="s">
        <v>2924</v>
      </c>
      <c r="D52" s="309"/>
    </row>
    <row r="53" spans="3:4" ht="12.75">
      <c r="C53" s="73" t="s">
        <v>2829</v>
      </c>
      <c r="D53" s="73" t="s">
        <v>2829</v>
      </c>
    </row>
    <row r="54" ht="12.75">
      <c r="C54" s="79"/>
    </row>
    <row r="55" ht="12.75">
      <c r="C55" s="79"/>
    </row>
    <row r="56" spans="2:3" ht="12.75">
      <c r="B56" s="73" t="s">
        <v>2829</v>
      </c>
      <c r="C56" s="79"/>
    </row>
    <row r="57" spans="2:3" ht="12.75">
      <c r="B57" s="81" t="s">
        <v>2613</v>
      </c>
      <c r="C57" s="79"/>
    </row>
    <row r="58" spans="2:3" ht="12.75">
      <c r="B58" s="82" t="s">
        <v>2614</v>
      </c>
      <c r="C58" s="79"/>
    </row>
    <row r="59" spans="2:3" ht="12.75">
      <c r="B59" s="82" t="s">
        <v>2615</v>
      </c>
      <c r="C59" s="79"/>
    </row>
  </sheetData>
  <sheetProtection password="8D25" sheet="1" formatCells="0" formatColumns="0" formatRows="0" insertColumns="0" insertRows="0" insertHyperlinks="0" deleteColumns="0" deleteRows="0" sort="0" autoFilter="0" pivotTables="0"/>
  <mergeCells count="7">
    <mergeCell ref="A5:D5"/>
    <mergeCell ref="C51:D51"/>
    <mergeCell ref="C52:D52"/>
    <mergeCell ref="A1:D1"/>
    <mergeCell ref="A2:D2"/>
    <mergeCell ref="A3:D3"/>
    <mergeCell ref="A4:D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4">
      <selection activeCell="A23" sqref="A23"/>
    </sheetView>
  </sheetViews>
  <sheetFormatPr defaultColWidth="11.421875" defaultRowHeight="12.75"/>
  <cols>
    <col min="1" max="1" width="60.8515625" style="0" customWidth="1"/>
    <col min="2" max="2" width="26.57421875" style="0" customWidth="1"/>
  </cols>
  <sheetData>
    <row r="1" ht="12.75">
      <c r="B1" s="153"/>
    </row>
    <row r="2" ht="12.75">
      <c r="B2" s="153"/>
    </row>
    <row r="3" spans="1:2" ht="12.75">
      <c r="A3" s="305" t="s">
        <v>2616</v>
      </c>
      <c r="B3" s="305"/>
    </row>
    <row r="4" spans="1:2" ht="12.75">
      <c r="A4" s="305" t="s">
        <v>217</v>
      </c>
      <c r="B4" s="305"/>
    </row>
    <row r="5" spans="1:2" ht="12.75">
      <c r="A5" s="305" t="s">
        <v>218</v>
      </c>
      <c r="B5" s="305"/>
    </row>
    <row r="6" spans="1:2" ht="12.75">
      <c r="A6" s="305" t="s">
        <v>2619</v>
      </c>
      <c r="B6" s="305"/>
    </row>
    <row r="7" spans="1:2" ht="12.75">
      <c r="A7" s="305" t="s">
        <v>2620</v>
      </c>
      <c r="B7" s="305"/>
    </row>
    <row r="8" spans="1:2" ht="12.75">
      <c r="A8" s="154"/>
      <c r="B8" s="154"/>
    </row>
    <row r="9" spans="1:2" ht="12.75">
      <c r="A9" s="154"/>
      <c r="B9" s="154"/>
    </row>
    <row r="10" ht="12.75">
      <c r="B10" s="153"/>
    </row>
    <row r="11" spans="1:2" ht="12.75">
      <c r="A11" t="s">
        <v>219</v>
      </c>
      <c r="B11" s="155">
        <f>+'[1]BALANCE GRAL GRUPO'!H24</f>
        <v>-20204395</v>
      </c>
    </row>
    <row r="12" ht="12.75">
      <c r="B12" s="153"/>
    </row>
    <row r="13" spans="1:2" ht="12.75">
      <c r="A13" t="s">
        <v>220</v>
      </c>
      <c r="B13" s="153">
        <f>+B15-B11</f>
        <v>-101901896</v>
      </c>
    </row>
    <row r="14" ht="12.75">
      <c r="B14" s="153" t="s">
        <v>2829</v>
      </c>
    </row>
    <row r="15" spans="1:2" ht="12.75">
      <c r="A15" t="s">
        <v>221</v>
      </c>
      <c r="B15" s="155">
        <f>+'[1]BALANCE GRAL GRUPO'!G24</f>
        <v>-122106291</v>
      </c>
    </row>
    <row r="16" ht="12.75">
      <c r="B16" s="153" t="s">
        <v>222</v>
      </c>
    </row>
    <row r="17" ht="12.75">
      <c r="B17" s="153"/>
    </row>
    <row r="18" spans="1:2" ht="12.75">
      <c r="A18" s="156" t="s">
        <v>223</v>
      </c>
      <c r="B18" s="156"/>
    </row>
    <row r="19" spans="1:2" ht="12.75">
      <c r="A19" s="62"/>
      <c r="B19" s="62"/>
    </row>
    <row r="20" ht="12.75">
      <c r="B20" s="153"/>
    </row>
    <row r="21" spans="1:2" ht="12.75">
      <c r="A21" t="s">
        <v>224</v>
      </c>
      <c r="B21" s="153">
        <v>0</v>
      </c>
    </row>
    <row r="22" ht="12.75">
      <c r="B22" s="153"/>
    </row>
    <row r="23" ht="12.75">
      <c r="B23" s="153"/>
    </row>
    <row r="24" spans="1:2" ht="12.75">
      <c r="A24" t="s">
        <v>225</v>
      </c>
      <c r="B24" s="157">
        <f>+B13</f>
        <v>-101901896</v>
      </c>
    </row>
    <row r="25" ht="12.75">
      <c r="A25" t="s">
        <v>2829</v>
      </c>
    </row>
    <row r="27" spans="1:2" ht="12.75">
      <c r="A27" t="s">
        <v>226</v>
      </c>
      <c r="B27" s="157">
        <v>0</v>
      </c>
    </row>
    <row r="29" ht="12.75">
      <c r="B29" s="153"/>
    </row>
    <row r="30" ht="12.75">
      <c r="B30" s="153"/>
    </row>
    <row r="31" ht="12.75">
      <c r="B31" s="153"/>
    </row>
    <row r="32" ht="12.75">
      <c r="B32" s="153"/>
    </row>
    <row r="33" ht="12.75">
      <c r="B33" s="153"/>
    </row>
    <row r="34" ht="12.75">
      <c r="B34" s="153"/>
    </row>
    <row r="35" spans="1:2" ht="12.75">
      <c r="A35" s="158"/>
      <c r="B35" s="153"/>
    </row>
    <row r="36" spans="1:2" ht="12.75">
      <c r="A36" s="158"/>
      <c r="B36" s="158"/>
    </row>
    <row r="37" spans="1:2" ht="12.75">
      <c r="A37" s="159" t="s">
        <v>2609</v>
      </c>
      <c r="B37" s="159" t="s">
        <v>2610</v>
      </c>
    </row>
    <row r="38" spans="1:2" ht="12.75">
      <c r="A38" s="158" t="s">
        <v>227</v>
      </c>
      <c r="B38" s="158" t="s">
        <v>2612</v>
      </c>
    </row>
    <row r="39" spans="1:2" ht="12.75">
      <c r="A39" s="158"/>
      <c r="B39" s="158"/>
    </row>
    <row r="40" spans="1:2" ht="12.75">
      <c r="A40" s="158"/>
      <c r="B40" s="158"/>
    </row>
    <row r="41" spans="1:2" ht="12.75">
      <c r="A41" s="158"/>
      <c r="B41" s="158"/>
    </row>
    <row r="42" spans="1:2" ht="12.75">
      <c r="A42" s="158"/>
      <c r="B42" s="158"/>
    </row>
    <row r="43" spans="1:2" ht="12.75">
      <c r="A43" s="158"/>
      <c r="B43" s="159" t="s">
        <v>2829</v>
      </c>
    </row>
    <row r="44" spans="1:2" ht="12.75">
      <c r="A44" s="158"/>
      <c r="B44" s="158" t="s">
        <v>2829</v>
      </c>
    </row>
    <row r="45" spans="1:2" ht="12.75">
      <c r="A45" s="149" t="s">
        <v>2613</v>
      </c>
      <c r="B45" s="160"/>
    </row>
    <row r="46" spans="1:2" ht="12.75">
      <c r="A46" s="161" t="s">
        <v>2614</v>
      </c>
      <c r="B46" s="160"/>
    </row>
    <row r="47" spans="1:2" ht="12.75">
      <c r="A47" s="161" t="s">
        <v>2615</v>
      </c>
      <c r="B47" s="160"/>
    </row>
    <row r="48" spans="1:2" ht="12.75">
      <c r="A48" s="158"/>
      <c r="B48" s="162" t="s">
        <v>2829</v>
      </c>
    </row>
    <row r="49" spans="1:2" ht="12.75">
      <c r="A49" s="158"/>
      <c r="B49" s="158" t="s">
        <v>2829</v>
      </c>
    </row>
  </sheetData>
  <sheetProtection password="8D25" sheet="1" formatCells="0" formatColumns="0" formatRows="0" insertColumns="0" insertRows="0" insertHyperlinks="0" deleteColumns="0" deleteRows="0" sort="0" autoFilter="0" pivotTables="0"/>
  <mergeCells count="5">
    <mergeCell ref="A7:B7"/>
    <mergeCell ref="A3:B3"/>
    <mergeCell ref="A4:B4"/>
    <mergeCell ref="A5:B5"/>
    <mergeCell ref="A6:B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mcamelo</dc:creator>
  <cp:keywords/>
  <dc:description/>
  <cp:lastModifiedBy>mcamelo</cp:lastModifiedBy>
  <dcterms:created xsi:type="dcterms:W3CDTF">2007-02-28T20:46:27Z</dcterms:created>
  <dcterms:modified xsi:type="dcterms:W3CDTF">2008-09-16T17:06:27Z</dcterms:modified>
  <cp:category/>
  <cp:version/>
  <cp:contentType/>
  <cp:contentStatus/>
</cp:coreProperties>
</file>