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57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<sst xmlns="http://schemas.openxmlformats.org/spreadsheetml/2006/main" count="130" uniqueCount="78">
  <si>
    <t>UNIVERSIDADES NACIONALES Y DEPARTAMENTALES VIGENCIA 2005</t>
  </si>
  <si>
    <t>UNIVER. NACIONALES</t>
  </si>
  <si>
    <t>APROP. INICIAL</t>
  </si>
  <si>
    <t>APROPIACION INICIAL</t>
  </si>
  <si>
    <t>MENOS S.S.F.</t>
  </si>
  <si>
    <t>RESOLUCION 2516</t>
  </si>
  <si>
    <t>APROP. DEF. CON SF.</t>
  </si>
  <si>
    <t>2% ICFES</t>
  </si>
  <si>
    <t>GIRO ENERO</t>
  </si>
  <si>
    <t>NETO ENERO</t>
  </si>
  <si>
    <t>GIRO FEBRERO</t>
  </si>
  <si>
    <t>NETO FEBRERO</t>
  </si>
  <si>
    <t>MARZO</t>
  </si>
  <si>
    <t xml:space="preserve">2% ICFES </t>
  </si>
  <si>
    <t>NETO MARZO</t>
  </si>
  <si>
    <t>ABRIL</t>
  </si>
  <si>
    <t>NETO ABRIL</t>
  </si>
  <si>
    <t>MAYO</t>
  </si>
  <si>
    <t>NETO MAYO</t>
  </si>
  <si>
    <t>JUNIO</t>
  </si>
  <si>
    <t>NETO JUNIO</t>
  </si>
  <si>
    <t>JULIO</t>
  </si>
  <si>
    <t>NETO</t>
  </si>
  <si>
    <t xml:space="preserve">AGOSTO </t>
  </si>
  <si>
    <t>NETO AGOSTO</t>
  </si>
  <si>
    <t>SEPTIEMBRE</t>
  </si>
  <si>
    <t>NETO SEPT.</t>
  </si>
  <si>
    <t>TOTAL SEPT.</t>
  </si>
  <si>
    <t>SALDO APROPIACION</t>
  </si>
  <si>
    <t>UNINAL DE COLOMBIA</t>
  </si>
  <si>
    <t>DEL CAUCA</t>
  </si>
  <si>
    <t>PEDAGOGICA</t>
  </si>
  <si>
    <t>CALDAS</t>
  </si>
  <si>
    <t>TUNJA</t>
  </si>
  <si>
    <t>CORDOBA</t>
  </si>
  <si>
    <t>TECNOL. CHOCO</t>
  </si>
  <si>
    <t>LLANOS</t>
  </si>
  <si>
    <t>TECNOL. PEREIRA</t>
  </si>
  <si>
    <t>POPULAR DEL CESAR</t>
  </si>
  <si>
    <t xml:space="preserve">SURCOLOMBIANA </t>
  </si>
  <si>
    <t>AMAZONIA</t>
  </si>
  <si>
    <t>COL. MAYOR C/MARCA</t>
  </si>
  <si>
    <t>UNIVER. NUEVA GRANADA</t>
  </si>
  <si>
    <t>PACIFICO</t>
  </si>
  <si>
    <t>POP. CESAR AGUACHICA</t>
  </si>
  <si>
    <t>TOTAL UNIV. NALES</t>
  </si>
  <si>
    <t xml:space="preserve"> </t>
  </si>
  <si>
    <t>UNIV. DEPTALES</t>
  </si>
  <si>
    <t>S.S.F</t>
  </si>
  <si>
    <t>APROP.DEF. CON S.F.</t>
  </si>
  <si>
    <t>AGOSTO</t>
  </si>
  <si>
    <t>%</t>
  </si>
  <si>
    <t>ANTIOQUIA</t>
  </si>
  <si>
    <t>CARTAGENA</t>
  </si>
  <si>
    <t xml:space="preserve">NARIÑO </t>
  </si>
  <si>
    <t>PAMPLONA</t>
  </si>
  <si>
    <t>ATLANTICO</t>
  </si>
  <si>
    <t>QUINDIO</t>
  </si>
  <si>
    <t>TOLIMA</t>
  </si>
  <si>
    <t>VALLE</t>
  </si>
  <si>
    <t>FCO. JOSE DE CALDAS</t>
  </si>
  <si>
    <t>INDUST. SAN/DER</t>
  </si>
  <si>
    <t>TECNOL. MAGDA.</t>
  </si>
  <si>
    <t>FCO.PAUL.SADER-CUCUTA</t>
  </si>
  <si>
    <t>FCO.PAUL.SADER-OCAÑA</t>
  </si>
  <si>
    <t>SUCRE</t>
  </si>
  <si>
    <t>VALLE DEL C. TULUA</t>
  </si>
  <si>
    <t>GUAJIRA</t>
  </si>
  <si>
    <t>CUNDINAMARCA</t>
  </si>
  <si>
    <t>TOTAL UNIV. DEPTALES</t>
  </si>
  <si>
    <t>SERVICIO DEUDA U.NALES</t>
  </si>
  <si>
    <t>S.S.F.</t>
  </si>
  <si>
    <t>APROP. DEF. CON SF</t>
  </si>
  <si>
    <t>ENERO</t>
  </si>
  <si>
    <t>FEBRERO</t>
  </si>
  <si>
    <t>UNIV. SURCOLOMBIANA</t>
  </si>
  <si>
    <t>TOTAL SERVICIO DEUDA</t>
  </si>
  <si>
    <t>GRAN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</si>
</sst>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/>
    </xf>
    <xf numFmtId="9" fontId="2" fillId="0" borderId="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/>
    </xf>
    <xf numFmtId="9" fontId="2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9" fontId="2" fillId="0" borderId="1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 shrinkToFit="1"/>
    </xf>
    <xf numFmtId="3" fontId="1" fillId="2" borderId="6" xfId="0" applyNumberFormat="1" applyFont="1" applyFill="1" applyBorder="1" applyAlignment="1">
      <alignment horizontal="center" wrapText="1" shrinkToFit="1"/>
    </xf>
    <xf numFmtId="3" fontId="1" fillId="2" borderId="17" xfId="0" applyNumberFormat="1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center" wrapText="1" shrinkToFit="1"/>
    </xf>
    <xf numFmtId="0" fontId="1" fillId="2" borderId="3" xfId="0" applyFont="1" applyFill="1" applyBorder="1" applyAlignment="1">
      <alignment horizontal="center" wrapText="1" shrinkToFit="1"/>
    </xf>
    <xf numFmtId="3" fontId="2" fillId="0" borderId="18" xfId="0" applyNumberFormat="1" applyFont="1" applyFill="1" applyBorder="1" applyAlignment="1">
      <alignment/>
    </xf>
    <xf numFmtId="9" fontId="2" fillId="0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wrapText="1"/>
    </xf>
    <xf numFmtId="3" fontId="1" fillId="3" borderId="21" xfId="0" applyNumberFormat="1" applyFont="1" applyFill="1" applyBorder="1" applyAlignment="1">
      <alignment wrapText="1"/>
    </xf>
    <xf numFmtId="3" fontId="1" fillId="3" borderId="21" xfId="0" applyNumberFormat="1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center" wrapText="1"/>
    </xf>
    <xf numFmtId="3" fontId="1" fillId="3" borderId="7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workbookViewId="0" topLeftCell="A3">
      <pane xSplit="1" ySplit="1" topLeftCell="AE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I4" sqref="AI4"/>
    </sheetView>
  </sheetViews>
  <sheetFormatPr defaultColWidth="11.421875" defaultRowHeight="12.75"/>
  <cols>
    <col min="1" max="1" width="23.7109375" style="0" bestFit="1" customWidth="1"/>
    <col min="2" max="2" width="15.7109375" style="0" bestFit="1" customWidth="1"/>
    <col min="3" max="3" width="14.28125" style="0" bestFit="1" customWidth="1"/>
    <col min="4" max="5" width="12.28125" style="0" bestFit="1" customWidth="1"/>
    <col min="6" max="6" width="15.7109375" style="0" bestFit="1" customWidth="1"/>
    <col min="7" max="7" width="13.28125" style="0" bestFit="1" customWidth="1"/>
    <col min="8" max="8" width="15.7109375" style="0" bestFit="1" customWidth="1"/>
    <col min="9" max="9" width="12.28125" style="0" bestFit="1" customWidth="1"/>
    <col min="10" max="10" width="13.28125" style="0" bestFit="1" customWidth="1"/>
    <col min="11" max="11" width="14.28125" style="0" bestFit="1" customWidth="1"/>
    <col min="12" max="12" width="12.28125" style="0" bestFit="1" customWidth="1"/>
    <col min="13" max="14" width="14.28125" style="0" bestFit="1" customWidth="1"/>
    <col min="15" max="15" width="12.28125" style="0" bestFit="1" customWidth="1"/>
    <col min="16" max="16" width="14.28125" style="0" bestFit="1" customWidth="1"/>
    <col min="17" max="17" width="13.28125" style="0" bestFit="1" customWidth="1"/>
    <col min="18" max="18" width="12.28125" style="0" bestFit="1" customWidth="1"/>
    <col min="19" max="20" width="13.28125" style="0" bestFit="1" customWidth="1"/>
    <col min="21" max="21" width="12.28125" style="0" bestFit="1" customWidth="1"/>
    <col min="22" max="22" width="13.28125" style="0" bestFit="1" customWidth="1"/>
    <col min="23" max="23" width="14.28125" style="0" bestFit="1" customWidth="1"/>
    <col min="24" max="24" width="12.28125" style="0" bestFit="1" customWidth="1"/>
    <col min="25" max="26" width="14.28125" style="0" bestFit="1" customWidth="1"/>
    <col min="27" max="27" width="12.28125" style="0" bestFit="1" customWidth="1"/>
    <col min="28" max="28" width="14.28125" style="0" bestFit="1" customWidth="1"/>
    <col min="29" max="29" width="13.28125" style="0" bestFit="1" customWidth="1"/>
    <col min="30" max="30" width="12.28125" style="0" bestFit="1" customWidth="1"/>
    <col min="31" max="32" width="13.28125" style="0" bestFit="1" customWidth="1"/>
    <col min="33" max="33" width="12.28125" style="0" bestFit="1" customWidth="1"/>
    <col min="34" max="34" width="13.28125" style="0" bestFit="1" customWidth="1"/>
    <col min="35" max="36" width="14.28125" style="0" bestFit="1" customWidth="1"/>
    <col min="37" max="37" width="5.57421875" style="0" bestFit="1" customWidth="1"/>
  </cols>
  <sheetData>
    <row r="1" spans="1:37" ht="14.25" thickBot="1" thickTop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6"/>
      <c r="AK1" s="1"/>
    </row>
    <row r="2" spans="1:37" ht="14.25" thickBot="1" thickTop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1:37" ht="37.5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7</v>
      </c>
      <c r="J3" s="6" t="s">
        <v>9</v>
      </c>
      <c r="K3" s="6" t="s">
        <v>10</v>
      </c>
      <c r="L3" s="6" t="s">
        <v>7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7</v>
      </c>
      <c r="S3" s="6" t="s">
        <v>16</v>
      </c>
      <c r="T3" s="6" t="s">
        <v>17</v>
      </c>
      <c r="U3" s="6" t="s">
        <v>7</v>
      </c>
      <c r="V3" s="6" t="s">
        <v>18</v>
      </c>
      <c r="W3" s="6" t="s">
        <v>19</v>
      </c>
      <c r="X3" s="6" t="s">
        <v>7</v>
      </c>
      <c r="Y3" s="6" t="s">
        <v>20</v>
      </c>
      <c r="Z3" s="6" t="s">
        <v>21</v>
      </c>
      <c r="AA3" s="6" t="s">
        <v>7</v>
      </c>
      <c r="AB3" s="6" t="s">
        <v>22</v>
      </c>
      <c r="AC3" s="6" t="s">
        <v>23</v>
      </c>
      <c r="AD3" s="6" t="s">
        <v>7</v>
      </c>
      <c r="AE3" s="6" t="s">
        <v>24</v>
      </c>
      <c r="AF3" s="6" t="s">
        <v>25</v>
      </c>
      <c r="AG3" s="6" t="s">
        <v>7</v>
      </c>
      <c r="AH3" s="6" t="s">
        <v>26</v>
      </c>
      <c r="AI3" s="6" t="s">
        <v>27</v>
      </c>
      <c r="AJ3" s="7" t="s">
        <v>28</v>
      </c>
      <c r="AK3" s="8"/>
    </row>
    <row r="4" spans="1:37" ht="13.5" thickTop="1">
      <c r="A4" s="10" t="s">
        <v>29</v>
      </c>
      <c r="B4" s="11">
        <v>284214154348</v>
      </c>
      <c r="C4" s="11">
        <v>373222467000</v>
      </c>
      <c r="D4" s="11">
        <v>875767143</v>
      </c>
      <c r="E4" s="12">
        <v>6178547811</v>
      </c>
      <c r="F4" s="13">
        <f>B4-D4+E4</f>
        <v>289516935016</v>
      </c>
      <c r="G4" s="11">
        <f>F4*2%</f>
        <v>5790338700.32</v>
      </c>
      <c r="H4" s="14">
        <f>17000303232+1894718702</f>
        <v>18895021934</v>
      </c>
      <c r="I4" s="11">
        <f>H4*2%</f>
        <v>377900438.68</v>
      </c>
      <c r="J4" s="11">
        <f>H4-I4</f>
        <v>18517121495.32</v>
      </c>
      <c r="K4" s="11">
        <v>35247295368</v>
      </c>
      <c r="L4" s="11">
        <f>K4*2%</f>
        <v>704945907.36</v>
      </c>
      <c r="M4" s="11">
        <f>K4-L4</f>
        <v>34542349460.64</v>
      </c>
      <c r="N4" s="11">
        <v>21414585953</v>
      </c>
      <c r="O4" s="11">
        <f>N4*2%</f>
        <v>428291719.06</v>
      </c>
      <c r="P4" s="11">
        <f>N4-O4</f>
        <v>20986294233.94</v>
      </c>
      <c r="Q4" s="11">
        <v>0</v>
      </c>
      <c r="R4" s="11"/>
      <c r="S4" s="11"/>
      <c r="T4" s="11">
        <v>19000000000</v>
      </c>
      <c r="U4" s="11">
        <f>T4*2%</f>
        <v>380000000</v>
      </c>
      <c r="V4" s="11">
        <f>T4-U4</f>
        <v>18620000000</v>
      </c>
      <c r="W4" s="11">
        <f>14000000000+21000000000</f>
        <v>35000000000</v>
      </c>
      <c r="X4" s="11">
        <f>W4*2%</f>
        <v>700000000</v>
      </c>
      <c r="Y4" s="11">
        <f>W4-X4</f>
        <v>34300000000</v>
      </c>
      <c r="Z4" s="11">
        <f>18895021934+4633910858</f>
        <v>23528932792</v>
      </c>
      <c r="AA4" s="11">
        <f>Z4*2%</f>
        <v>470578655.84000003</v>
      </c>
      <c r="AB4" s="11">
        <f>Z4-AA4</f>
        <v>23058354136.16</v>
      </c>
      <c r="AC4" s="11">
        <f>18895021934+926782172</f>
        <v>19821804106</v>
      </c>
      <c r="AD4" s="11">
        <f>AC4*2%</f>
        <v>396436082.12</v>
      </c>
      <c r="AE4" s="11">
        <f>AC4-AD4</f>
        <v>19425368023.88</v>
      </c>
      <c r="AF4" s="11">
        <f>18895021934</f>
        <v>18895021934</v>
      </c>
      <c r="AG4" s="11">
        <f>AF4*2%</f>
        <v>377900438.68</v>
      </c>
      <c r="AH4" s="11">
        <f>AF4-AG4</f>
        <v>18517121495.32</v>
      </c>
      <c r="AI4" s="11">
        <f>H4+K4+N4+Q4+T4+W4+Z4+AC4+AF4</f>
        <v>191802662087</v>
      </c>
      <c r="AJ4" s="12">
        <f>F4-AI4</f>
        <v>97714272929</v>
      </c>
      <c r="AK4" s="15">
        <f>AI4/F4</f>
        <v>0.6624920303069668</v>
      </c>
    </row>
    <row r="5" spans="1:37" ht="12.75">
      <c r="A5" s="10" t="s">
        <v>29</v>
      </c>
      <c r="B5" s="11">
        <v>115450836511</v>
      </c>
      <c r="C5" s="11"/>
      <c r="D5" s="11"/>
      <c r="E5" s="11"/>
      <c r="F5" s="11">
        <f>B5-D5+E5</f>
        <v>115450836511</v>
      </c>
      <c r="G5" s="11">
        <f>F5*2%</f>
        <v>2309016730.2200003</v>
      </c>
      <c r="H5" s="14">
        <f>6927050191+772047452</f>
        <v>7699097643</v>
      </c>
      <c r="I5" s="11">
        <f>H5*2%</f>
        <v>153981952.86</v>
      </c>
      <c r="J5" s="11">
        <f>H5-I5</f>
        <v>7545115690.14</v>
      </c>
      <c r="K5" s="11">
        <v>14362084062</v>
      </c>
      <c r="L5" s="11">
        <f>K5*2%</f>
        <v>287241681.24</v>
      </c>
      <c r="M5" s="11">
        <f>K5-L5</f>
        <v>14074842380.76</v>
      </c>
      <c r="N5" s="11">
        <v>8725708031</v>
      </c>
      <c r="O5" s="11">
        <f>N5*2%</f>
        <v>174514160.62</v>
      </c>
      <c r="P5" s="11">
        <f>N5-O5</f>
        <v>8551193870.38</v>
      </c>
      <c r="Q5" s="11">
        <v>10325400000</v>
      </c>
      <c r="R5" s="11">
        <f>Q5*2%</f>
        <v>206508000</v>
      </c>
      <c r="S5" s="11">
        <f>Q5-R5</f>
        <v>10118892000</v>
      </c>
      <c r="T5" s="11">
        <v>7696722434</v>
      </c>
      <c r="U5" s="11">
        <f>T5*2%</f>
        <v>153934448.68</v>
      </c>
      <c r="V5" s="11">
        <f>T5-U5</f>
        <v>7542787985.32</v>
      </c>
      <c r="W5" s="11">
        <f>13000000000+8466580125</f>
        <v>21466580125</v>
      </c>
      <c r="X5" s="11">
        <f>W5*2%</f>
        <v>429331602.5</v>
      </c>
      <c r="Y5" s="11">
        <f>W5-X5</f>
        <v>21037248522.5</v>
      </c>
      <c r="Z5" s="11">
        <v>7696722434</v>
      </c>
      <c r="AA5" s="11">
        <f>Z5*2%</f>
        <v>153934448.68</v>
      </c>
      <c r="AB5" s="11">
        <f>Z5-AA5</f>
        <v>7542787985.32</v>
      </c>
      <c r="AC5" s="11">
        <v>7696722434</v>
      </c>
      <c r="AD5" s="11">
        <f>AC5*2%</f>
        <v>153934448.68</v>
      </c>
      <c r="AE5" s="11">
        <f>AC5-AD5</f>
        <v>7542787985.32</v>
      </c>
      <c r="AF5" s="11">
        <v>7696722434</v>
      </c>
      <c r="AG5" s="11">
        <f>AF5*2%</f>
        <v>153934448.68</v>
      </c>
      <c r="AH5" s="11">
        <f>AF5-AG5</f>
        <v>7542787985.32</v>
      </c>
      <c r="AI5" s="11">
        <f>H5+K5+N5+Q5+T5+W5+Z5+AC5+AF5</f>
        <v>93365759597</v>
      </c>
      <c r="AJ5" s="12">
        <f>F5-AI5</f>
        <v>22085076914</v>
      </c>
      <c r="AK5" s="15">
        <f>AI5/F5</f>
        <v>0.8087057869702333</v>
      </c>
    </row>
    <row r="6" spans="1:37" ht="12.75">
      <c r="A6" s="10" t="s">
        <v>30</v>
      </c>
      <c r="B6" s="11">
        <v>54504468469</v>
      </c>
      <c r="C6" s="11">
        <v>50414265000</v>
      </c>
      <c r="D6" s="11">
        <v>115131737</v>
      </c>
      <c r="E6" s="11">
        <v>1119978773</v>
      </c>
      <c r="F6" s="11">
        <f>B6-D6+E6</f>
        <v>55509315505</v>
      </c>
      <c r="G6" s="11">
        <f>F6*2%</f>
        <v>1110186310.1</v>
      </c>
      <c r="H6" s="14">
        <f>3263360204+363714548</f>
        <v>3627074752</v>
      </c>
      <c r="I6" s="11">
        <f>H6*2%</f>
        <v>72541495.04</v>
      </c>
      <c r="J6" s="11">
        <f>H6-I6</f>
        <v>3554533256.96</v>
      </c>
      <c r="K6" s="11">
        <v>6766033489</v>
      </c>
      <c r="L6" s="11">
        <f>K6*2%</f>
        <v>135320669.78</v>
      </c>
      <c r="M6" s="11">
        <f>K6-L6</f>
        <v>6630712819.22</v>
      </c>
      <c r="N6" s="11">
        <v>4110714888</v>
      </c>
      <c r="O6" s="11">
        <f>N6*2%</f>
        <v>82214297.76</v>
      </c>
      <c r="P6" s="11">
        <f>N6-O6</f>
        <v>4028500590.24</v>
      </c>
      <c r="Q6" s="11">
        <v>3625955782</v>
      </c>
      <c r="R6" s="11">
        <f>Q6*2%</f>
        <v>72519115.64</v>
      </c>
      <c r="S6" s="11">
        <f>Q6-R6</f>
        <v>3553436666.36</v>
      </c>
      <c r="T6" s="11">
        <v>3625955782</v>
      </c>
      <c r="U6" s="11">
        <f>T6*2%</f>
        <v>72519115.64</v>
      </c>
      <c r="V6" s="11">
        <f>T6-U6</f>
        <v>3553436666.36</v>
      </c>
      <c r="W6" s="11">
        <v>5438933673</v>
      </c>
      <c r="X6" s="11">
        <f>W6*2%</f>
        <v>108778673.46000001</v>
      </c>
      <c r="Y6" s="11">
        <f>W6-X6</f>
        <v>5330154999.54</v>
      </c>
      <c r="Z6" s="11">
        <f>3625955782+839984080</f>
        <v>4465939862</v>
      </c>
      <c r="AA6" s="11">
        <f>Z6*2%</f>
        <v>89318797.24</v>
      </c>
      <c r="AB6" s="11">
        <f>Z6-AA6</f>
        <v>4376621064.76</v>
      </c>
      <c r="AC6" s="11">
        <f>3625955782+167996816</f>
        <v>3793952598</v>
      </c>
      <c r="AD6" s="11">
        <f>AC6*2%</f>
        <v>75879051.96000001</v>
      </c>
      <c r="AE6" s="11">
        <f>AC6-AD6</f>
        <v>3718073546.04</v>
      </c>
      <c r="AF6" s="11">
        <f>3625955782</f>
        <v>3625955782</v>
      </c>
      <c r="AG6" s="11">
        <f>AF6*2%</f>
        <v>72519115.64</v>
      </c>
      <c r="AH6" s="11">
        <f>AF6-AG6</f>
        <v>3553436666.36</v>
      </c>
      <c r="AI6" s="11">
        <f>H6+K6+N6+Q6+T6+W6+Z6+AC6+AF6</f>
        <v>39080516608</v>
      </c>
      <c r="AJ6" s="12">
        <f>F6-AI6</f>
        <v>16428798897</v>
      </c>
      <c r="AK6" s="15">
        <f>AI6/F6</f>
        <v>0.7040352822307784</v>
      </c>
    </row>
    <row r="7" spans="1:37" ht="12.75">
      <c r="A7" s="10" t="s">
        <v>31</v>
      </c>
      <c r="B7" s="11">
        <v>30990072189</v>
      </c>
      <c r="C7" s="11">
        <v>29775634000</v>
      </c>
      <c r="D7" s="11">
        <v>65871071</v>
      </c>
      <c r="E7" s="11">
        <v>673685333</v>
      </c>
      <c r="F7" s="11">
        <f>B7-D7+E7</f>
        <v>31597886451</v>
      </c>
      <c r="G7" s="11">
        <f>F7*2%</f>
        <v>631957729.02</v>
      </c>
      <c r="H7" s="14">
        <f>1855452067+206797555</f>
        <v>2062249622</v>
      </c>
      <c r="I7" s="11">
        <f>H7*2%</f>
        <v>41244992.44</v>
      </c>
      <c r="J7" s="11">
        <f>H7-I7</f>
        <v>2021004629.56</v>
      </c>
      <c r="K7" s="11">
        <v>3846970619</v>
      </c>
      <c r="L7" s="11">
        <f>K7*2%</f>
        <v>76939412.38</v>
      </c>
      <c r="M7" s="11">
        <f>K7-L7</f>
        <v>3770031206.62</v>
      </c>
      <c r="N7" s="11">
        <v>2337233390</v>
      </c>
      <c r="O7" s="11">
        <f>N7*2%</f>
        <v>46744667.800000004</v>
      </c>
      <c r="P7" s="11">
        <f>N7-O7</f>
        <v>2290488722.2</v>
      </c>
      <c r="Q7" s="11">
        <v>2061613408</v>
      </c>
      <c r="R7" s="11">
        <f>Q7*2%</f>
        <v>41232268.160000004</v>
      </c>
      <c r="S7" s="11">
        <f>Q7-R7</f>
        <v>2020381139.84</v>
      </c>
      <c r="T7" s="11">
        <v>2061613408</v>
      </c>
      <c r="U7" s="11">
        <f>T7*2%</f>
        <v>41232268.160000004</v>
      </c>
      <c r="V7" s="11">
        <f>T7-U7</f>
        <v>2020381139.84</v>
      </c>
      <c r="W7" s="11">
        <v>3092420112</v>
      </c>
      <c r="X7" s="11">
        <f>W7*2%</f>
        <v>61848402.24</v>
      </c>
      <c r="Y7" s="11">
        <f>W7-X7</f>
        <v>3030571709.76</v>
      </c>
      <c r="Z7" s="11">
        <v>2061613408</v>
      </c>
      <c r="AA7" s="11">
        <f>Z7*2%</f>
        <v>41232268.160000004</v>
      </c>
      <c r="AB7" s="11">
        <f>Z7-AA7</f>
        <v>2020381139.84</v>
      </c>
      <c r="AC7" s="11">
        <f>2061613408+414316480</f>
        <v>2475929888</v>
      </c>
      <c r="AD7" s="11">
        <f>AC7*2%</f>
        <v>49518597.76</v>
      </c>
      <c r="AE7" s="11">
        <f>AC7-AD7</f>
        <v>2426411290.24</v>
      </c>
      <c r="AF7" s="11">
        <f>2061613408</f>
        <v>2061613408</v>
      </c>
      <c r="AG7" s="11">
        <f>AF7*2%</f>
        <v>41232268.160000004</v>
      </c>
      <c r="AH7" s="11">
        <f>AF7-AG7</f>
        <v>2020381139.84</v>
      </c>
      <c r="AI7" s="11">
        <f>H7+K7+N7+Q7+T7+W7+Z7+AC7+AF7</f>
        <v>22061257263</v>
      </c>
      <c r="AJ7" s="12">
        <f>F7-AI7</f>
        <v>9536629188</v>
      </c>
      <c r="AK7" s="15">
        <f>AI7/F7</f>
        <v>0.6981877505386698</v>
      </c>
    </row>
    <row r="8" spans="1:37" ht="12.75">
      <c r="A8" s="10" t="s">
        <v>32</v>
      </c>
      <c r="B8" s="11">
        <v>46355556169</v>
      </c>
      <c r="C8" s="11">
        <v>44460351000</v>
      </c>
      <c r="D8" s="11">
        <v>98472877</v>
      </c>
      <c r="E8" s="11">
        <v>987834085</v>
      </c>
      <c r="F8" s="11">
        <f>B8-D8+E8</f>
        <v>47244917377</v>
      </c>
      <c r="G8" s="11">
        <f>F8*2%</f>
        <v>944898347.54</v>
      </c>
      <c r="H8" s="14">
        <f>2775424998+309332218</f>
        <v>3084757216</v>
      </c>
      <c r="I8" s="11">
        <f>H8*2%</f>
        <v>61695144.32</v>
      </c>
      <c r="J8" s="11">
        <f>H8-I8</f>
        <v>3023062071.68</v>
      </c>
      <c r="K8" s="11">
        <v>5754381162</v>
      </c>
      <c r="L8" s="11">
        <f>K8*2%</f>
        <v>115087623.24000001</v>
      </c>
      <c r="M8" s="11">
        <f>K8-L8</f>
        <v>5639293538.76</v>
      </c>
      <c r="N8" s="11">
        <v>3496083833</v>
      </c>
      <c r="O8" s="11">
        <f>N8*2%</f>
        <v>69921676.66</v>
      </c>
      <c r="P8" s="11">
        <f>N8-O8</f>
        <v>3426162156.34</v>
      </c>
      <c r="Q8" s="11">
        <v>3083805553</v>
      </c>
      <c r="R8" s="11">
        <f>Q8*2%</f>
        <v>61676111.06</v>
      </c>
      <c r="S8" s="11">
        <f>Q8-R8</f>
        <v>3022129441.94</v>
      </c>
      <c r="T8" s="11">
        <v>3083805553</v>
      </c>
      <c r="U8" s="11">
        <f>T8*2%</f>
        <v>61676111.06</v>
      </c>
      <c r="V8" s="11">
        <f>T8-U8</f>
        <v>3022129441.94</v>
      </c>
      <c r="W8" s="11">
        <v>4625708330</v>
      </c>
      <c r="X8" s="11">
        <f>W8*2%</f>
        <v>92514166.60000001</v>
      </c>
      <c r="Y8" s="11">
        <f>W8-X8</f>
        <v>4533194163.4</v>
      </c>
      <c r="Z8" s="11">
        <f>3083805553+740875564</f>
        <v>3824681117</v>
      </c>
      <c r="AA8" s="11">
        <f>Z8*2%</f>
        <v>76493622.34</v>
      </c>
      <c r="AB8" s="11">
        <f>Z8-AA8</f>
        <v>3748187494.66</v>
      </c>
      <c r="AC8" s="11">
        <f>3083805553+148175113</f>
        <v>3231980666</v>
      </c>
      <c r="AD8" s="11">
        <f>AC8*2%</f>
        <v>64639613.32</v>
      </c>
      <c r="AE8" s="11">
        <f>AC8-AD8</f>
        <v>3167341052.68</v>
      </c>
      <c r="AF8" s="11">
        <f>3083805553</f>
        <v>3083805553</v>
      </c>
      <c r="AG8" s="11">
        <f>AF8*2%</f>
        <v>61676111.06</v>
      </c>
      <c r="AH8" s="11">
        <f>AF8-AG8</f>
        <v>3022129441.94</v>
      </c>
      <c r="AI8" s="11">
        <f>H8+K8+N8+Q8+T8+W8+Z8+AC8+AF8</f>
        <v>33269008983</v>
      </c>
      <c r="AJ8" s="12">
        <f>F8-AI8</f>
        <v>13975908394</v>
      </c>
      <c r="AK8" s="15">
        <f>AI8/F8</f>
        <v>0.7041817581672009</v>
      </c>
    </row>
    <row r="9" spans="1:37" ht="12.75">
      <c r="A9" s="10" t="s">
        <v>33</v>
      </c>
      <c r="B9" s="11">
        <v>57680366883</v>
      </c>
      <c r="C9" s="11">
        <v>55423726000</v>
      </c>
      <c r="D9" s="11">
        <v>123085313</v>
      </c>
      <c r="E9" s="11">
        <v>1253931699</v>
      </c>
      <c r="F9" s="11">
        <f>B9-D9+E9</f>
        <v>58811213269</v>
      </c>
      <c r="G9" s="11">
        <f>F9*2%</f>
        <v>1176224265.38</v>
      </c>
      <c r="H9" s="14">
        <f>3453436894+384899356</f>
        <v>3838336250</v>
      </c>
      <c r="I9" s="11">
        <f>H9*2%</f>
        <v>76766725</v>
      </c>
      <c r="J9" s="11">
        <f>H9-I9</f>
        <v>3761569525</v>
      </c>
      <c r="K9" s="11">
        <v>7160125827</v>
      </c>
      <c r="L9" s="11">
        <f>K9*2%</f>
        <v>143202516.54</v>
      </c>
      <c r="M9" s="11">
        <f>K9-L9</f>
        <v>7016923310.46</v>
      </c>
      <c r="N9" s="11">
        <v>4350146342</v>
      </c>
      <c r="O9" s="11">
        <f>N9*2%</f>
        <v>87002926.84</v>
      </c>
      <c r="P9" s="11">
        <f>N9-O9</f>
        <v>4263143415.16</v>
      </c>
      <c r="Q9" s="11">
        <v>3837152105</v>
      </c>
      <c r="R9" s="11">
        <f>Q9*2%</f>
        <v>76743042.10000001</v>
      </c>
      <c r="S9" s="11">
        <f>Q9-R9</f>
        <v>3760409062.9</v>
      </c>
      <c r="T9" s="11">
        <v>3837152105</v>
      </c>
      <c r="U9" s="11">
        <f>T9*2%</f>
        <v>76743042.10000001</v>
      </c>
      <c r="V9" s="11">
        <f>T9-U9</f>
        <v>3760409062.9</v>
      </c>
      <c r="W9" s="11">
        <v>5755728158</v>
      </c>
      <c r="X9" s="11">
        <f>W9*2%</f>
        <v>115114563.16</v>
      </c>
      <c r="Y9" s="11">
        <f>W9-X9</f>
        <v>5640613594.84</v>
      </c>
      <c r="Z9" s="11">
        <v>3837152105</v>
      </c>
      <c r="AA9" s="11">
        <f>Z9*2%</f>
        <v>76743042.10000001</v>
      </c>
      <c r="AB9" s="11">
        <f>Z9-AA9</f>
        <v>3760409062.9</v>
      </c>
      <c r="AC9" s="11">
        <f>3837152105+712233205</f>
        <v>4549385310</v>
      </c>
      <c r="AD9" s="11">
        <f>AC9*2%</f>
        <v>90987706.2</v>
      </c>
      <c r="AE9" s="11">
        <f>AC9-AD9</f>
        <v>4458397603.8</v>
      </c>
      <c r="AF9" s="11">
        <f>3837152105</f>
        <v>3837152105</v>
      </c>
      <c r="AG9" s="11">
        <f>AF9*2%</f>
        <v>76743042.10000001</v>
      </c>
      <c r="AH9" s="11">
        <f>AF9-AG9</f>
        <v>3760409062.9</v>
      </c>
      <c r="AI9" s="11">
        <f>H9+K9+N9+Q9+T9+W9+Z9+AC9+AF9</f>
        <v>41002330307</v>
      </c>
      <c r="AJ9" s="12">
        <f>F9-AI9</f>
        <v>17808882962</v>
      </c>
      <c r="AK9" s="15">
        <f>AI9/F9</f>
        <v>0.697185588052011</v>
      </c>
    </row>
    <row r="10" spans="1:37" ht="12.75">
      <c r="A10" s="10" t="s">
        <v>34</v>
      </c>
      <c r="B10" s="11">
        <v>53937803578</v>
      </c>
      <c r="C10" s="11">
        <v>51003826000</v>
      </c>
      <c r="D10" s="11">
        <v>110900531</v>
      </c>
      <c r="E10" s="11">
        <v>1132533225</v>
      </c>
      <c r="F10" s="11">
        <f>B10-D10+E10</f>
        <v>54959436272</v>
      </c>
      <c r="G10" s="11">
        <f>F10*2%</f>
        <v>1099188725.44</v>
      </c>
      <c r="H10" s="14">
        <f>3229614183+359953419</f>
        <v>3589567602</v>
      </c>
      <c r="I10" s="11">
        <f>H10*2%</f>
        <v>71791352.04</v>
      </c>
      <c r="J10" s="11">
        <f>H10-I10</f>
        <v>3517776249.96</v>
      </c>
      <c r="K10" s="11">
        <v>6696066739</v>
      </c>
      <c r="L10" s="11">
        <f>K10*2%</f>
        <v>133921334.78</v>
      </c>
      <c r="M10" s="11">
        <f>K10-L10</f>
        <v>6562145404.22</v>
      </c>
      <c r="N10" s="11">
        <v>4068206472</v>
      </c>
      <c r="O10" s="11">
        <f>N10*2%</f>
        <v>81364129.44</v>
      </c>
      <c r="P10" s="11">
        <f>N10-O10</f>
        <v>3986842342.56</v>
      </c>
      <c r="Q10" s="11">
        <v>3588460203</v>
      </c>
      <c r="R10" s="11">
        <f>Q10*2%</f>
        <v>71769204.06</v>
      </c>
      <c r="S10" s="11">
        <f>Q10-R10</f>
        <v>3516690998.94</v>
      </c>
      <c r="T10" s="11">
        <v>3588460203</v>
      </c>
      <c r="U10" s="11">
        <f>T10*2%</f>
        <v>71769204.06</v>
      </c>
      <c r="V10" s="11">
        <f>T10-U10</f>
        <v>3516690998.94</v>
      </c>
      <c r="W10" s="11">
        <v>5382690305</v>
      </c>
      <c r="X10" s="11">
        <f>W10*2%</f>
        <v>107653806.10000001</v>
      </c>
      <c r="Y10" s="11">
        <f>W10-X10</f>
        <v>5275036498.9</v>
      </c>
      <c r="Z10" s="11">
        <v>3588460203</v>
      </c>
      <c r="AA10" s="11">
        <f>Z10*2%</f>
        <v>71769204.06</v>
      </c>
      <c r="AB10" s="11">
        <f>Z10-AA10</f>
        <v>3516690998.94</v>
      </c>
      <c r="AC10" s="11">
        <f>3588460203+656869271</f>
        <v>4245329474</v>
      </c>
      <c r="AD10" s="11">
        <f>AC10*2%</f>
        <v>84906589.48</v>
      </c>
      <c r="AE10" s="11">
        <f>AC10-AD10</f>
        <v>4160422884.52</v>
      </c>
      <c r="AF10" s="11">
        <f>3588460203</f>
        <v>3588460203</v>
      </c>
      <c r="AG10" s="11">
        <f>AF10*2%</f>
        <v>71769204.06</v>
      </c>
      <c r="AH10" s="11">
        <f>AF10-AG10</f>
        <v>3516690998.94</v>
      </c>
      <c r="AI10" s="11">
        <f>H10+K10+N10+Q10+T10+W10+Z10+AC10+AF10</f>
        <v>38335701404</v>
      </c>
      <c r="AJ10" s="12">
        <f>F10-AI10</f>
        <v>16623734868</v>
      </c>
      <c r="AK10" s="15">
        <f>AI10/F10</f>
        <v>0.6975271946799564</v>
      </c>
    </row>
    <row r="11" spans="1:37" ht="12.75">
      <c r="A11" s="10" t="s">
        <v>35</v>
      </c>
      <c r="B11" s="11">
        <v>20345093907</v>
      </c>
      <c r="C11" s="11">
        <v>19266613000</v>
      </c>
      <c r="D11" s="11">
        <v>42131323</v>
      </c>
      <c r="E11" s="11">
        <v>427961105</v>
      </c>
      <c r="F11" s="11">
        <f>B11-D11+E11</f>
        <v>20730923689</v>
      </c>
      <c r="G11" s="11">
        <f>F11*2%</f>
        <v>414618473.78000003</v>
      </c>
      <c r="H11" s="14">
        <f>1218177755+135770784</f>
        <v>1353948539</v>
      </c>
      <c r="I11" s="11">
        <f>H11*2%</f>
        <v>27078970.78</v>
      </c>
      <c r="J11" s="11">
        <f>H11-I11</f>
        <v>1326869568.22</v>
      </c>
      <c r="K11" s="11">
        <v>2525688545</v>
      </c>
      <c r="L11" s="11">
        <f>K11*2%</f>
        <v>50513770.9</v>
      </c>
      <c r="M11" s="11">
        <f>K11-L11</f>
        <v>2475174774.1</v>
      </c>
      <c r="N11" s="11">
        <v>1534486272</v>
      </c>
      <c r="O11" s="11">
        <f>N11*2%</f>
        <v>30689725.44</v>
      </c>
      <c r="P11" s="11">
        <f>N11-O11</f>
        <v>1503796546.56</v>
      </c>
      <c r="Q11" s="11">
        <v>1353530839</v>
      </c>
      <c r="R11" s="11">
        <f>Q11*2%</f>
        <v>27070616.78</v>
      </c>
      <c r="S11" s="11">
        <f>Q11-R11</f>
        <v>1326460222.22</v>
      </c>
      <c r="T11" s="11">
        <v>1353530839</v>
      </c>
      <c r="U11" s="11">
        <f>T11*2%</f>
        <v>27070616.78</v>
      </c>
      <c r="V11" s="11">
        <f>T11-U11</f>
        <v>1326460222.22</v>
      </c>
      <c r="W11" s="11">
        <v>2030296259</v>
      </c>
      <c r="X11" s="11">
        <f>W11*2%</f>
        <v>40605925.18</v>
      </c>
      <c r="Y11" s="11">
        <f>W11-X11</f>
        <v>1989690333.82</v>
      </c>
      <c r="Z11" s="11">
        <v>1353530839</v>
      </c>
      <c r="AA11" s="11">
        <f>Z11*2%</f>
        <v>27070616.78</v>
      </c>
      <c r="AB11" s="11">
        <f>Z11-AA11</f>
        <v>1326460222.22</v>
      </c>
      <c r="AC11" s="11">
        <f>1353530839+104850471</f>
        <v>1458381310</v>
      </c>
      <c r="AD11" s="11">
        <f>AC11*2%</f>
        <v>29167626.2</v>
      </c>
      <c r="AE11" s="11">
        <f>AC11-AD11</f>
        <v>1429213683.8</v>
      </c>
      <c r="AF11" s="11">
        <f>1353530839</f>
        <v>1353530839</v>
      </c>
      <c r="AG11" s="11">
        <f>AF11*2%</f>
        <v>27070616.78</v>
      </c>
      <c r="AH11" s="11">
        <f>AF11-AG11</f>
        <v>1326460222.22</v>
      </c>
      <c r="AI11" s="11">
        <f>H11+K11+N11+Q11+T11+W11+Z11+AC11+AF11</f>
        <v>14316924281</v>
      </c>
      <c r="AJ11" s="12">
        <f>F11-AI11</f>
        <v>6413999408</v>
      </c>
      <c r="AK11" s="15">
        <f>AI11/F11</f>
        <v>0.6906071574898844</v>
      </c>
    </row>
    <row r="12" spans="1:37" ht="12.75">
      <c r="A12" s="10" t="s">
        <v>36</v>
      </c>
      <c r="B12" s="11">
        <v>14230442842</v>
      </c>
      <c r="C12" s="11">
        <v>13674402000</v>
      </c>
      <c r="D12" s="11">
        <v>30539044</v>
      </c>
      <c r="E12" s="11">
        <v>309356206</v>
      </c>
      <c r="F12" s="11">
        <f>B12-D12+E12</f>
        <v>14509260004</v>
      </c>
      <c r="G12" s="11">
        <f>F12*2%</f>
        <v>290185200.08</v>
      </c>
      <c r="H12" s="14">
        <f>851994228+94958165</f>
        <v>946952393</v>
      </c>
      <c r="I12" s="11">
        <f>H12*2%</f>
        <v>18939047.86</v>
      </c>
      <c r="J12" s="11">
        <f>H12-I12</f>
        <v>928013345.14</v>
      </c>
      <c r="K12" s="11">
        <v>1766468032</v>
      </c>
      <c r="L12" s="11">
        <f>K12*2%</f>
        <v>35329360.64</v>
      </c>
      <c r="M12" s="11">
        <f>K12-L12</f>
        <v>1731138671.36</v>
      </c>
      <c r="N12" s="11">
        <v>1073220588</v>
      </c>
      <c r="O12" s="11">
        <f>N12*2%</f>
        <v>21464411.76</v>
      </c>
      <c r="P12" s="11">
        <f>N12-O12</f>
        <v>1051756176.24</v>
      </c>
      <c r="Q12" s="11">
        <v>946660253</v>
      </c>
      <c r="R12" s="11">
        <f>Q12*2%</f>
        <v>18933205.06</v>
      </c>
      <c r="S12" s="11">
        <f>Q12-R12</f>
        <v>927727047.94</v>
      </c>
      <c r="T12" s="11">
        <v>946660253</v>
      </c>
      <c r="U12" s="11">
        <f>T12*2%</f>
        <v>18933205.06</v>
      </c>
      <c r="V12" s="11">
        <f>T12-U12</f>
        <v>927727047.94</v>
      </c>
      <c r="W12" s="11">
        <v>1419990380</v>
      </c>
      <c r="X12" s="11">
        <f>W12*2%</f>
        <v>28399807.6</v>
      </c>
      <c r="Y12" s="11">
        <f>W12-X12</f>
        <v>1391590572.4</v>
      </c>
      <c r="Z12" s="11">
        <v>946660253</v>
      </c>
      <c r="AA12" s="11">
        <f>Z12*2%</f>
        <v>18933205.06</v>
      </c>
      <c r="AB12" s="11">
        <f>Z12-AA12</f>
        <v>927727047.94</v>
      </c>
      <c r="AC12" s="11">
        <f>946660253+127114465</f>
        <v>1073774718</v>
      </c>
      <c r="AD12" s="11">
        <f>AC12*2%</f>
        <v>21475494.36</v>
      </c>
      <c r="AE12" s="11">
        <f>AC12-AD12</f>
        <v>1052299223.64</v>
      </c>
      <c r="AF12" s="11">
        <f>946660253</f>
        <v>946660253</v>
      </c>
      <c r="AG12" s="11">
        <f>AF12*2%</f>
        <v>18933205.06</v>
      </c>
      <c r="AH12" s="11">
        <f>AF12-AG12</f>
        <v>927727047.94</v>
      </c>
      <c r="AI12" s="11">
        <f>H12+K12+N12+Q12+T12+W12+Z12+AC12+AF12</f>
        <v>10067047123</v>
      </c>
      <c r="AJ12" s="12">
        <f>F12-AI12</f>
        <v>4442212881</v>
      </c>
      <c r="AK12" s="15">
        <f>AI12/F12</f>
        <v>0.6938360137060509</v>
      </c>
    </row>
    <row r="13" spans="1:37" ht="12.75">
      <c r="A13" s="10" t="s">
        <v>37</v>
      </c>
      <c r="B13" s="11">
        <v>45283255858</v>
      </c>
      <c r="C13" s="11">
        <v>42262751000</v>
      </c>
      <c r="D13" s="11">
        <v>93675267</v>
      </c>
      <c r="E13" s="11">
        <v>908011498</v>
      </c>
      <c r="F13" s="11">
        <f>B13-D13+E13</f>
        <v>46097592089</v>
      </c>
      <c r="G13" s="11">
        <f>F13*2%</f>
        <v>921951841.78</v>
      </c>
      <c r="H13" s="14">
        <f>2711374835+302193571</f>
        <v>3013568406</v>
      </c>
      <c r="I13" s="11">
        <f>H13*2%</f>
        <v>60271368.120000005</v>
      </c>
      <c r="J13" s="11">
        <f>H13-I13</f>
        <v>2953297037.88</v>
      </c>
      <c r="K13" s="11">
        <v>5621583826</v>
      </c>
      <c r="L13" s="11">
        <f>K13*2%</f>
        <v>112431676.52</v>
      </c>
      <c r="M13" s="11">
        <f>K13-L13</f>
        <v>5509152149.48</v>
      </c>
      <c r="N13" s="11">
        <v>3415402592</v>
      </c>
      <c r="O13" s="11">
        <f>N13*2%</f>
        <v>68308051.84</v>
      </c>
      <c r="P13" s="11">
        <f>N13-O13</f>
        <v>3347094540.16</v>
      </c>
      <c r="Q13" s="11">
        <v>3012638706</v>
      </c>
      <c r="R13" s="11">
        <f>Q13*2%</f>
        <v>60252774.120000005</v>
      </c>
      <c r="S13" s="11">
        <f>Q13-R13</f>
        <v>2952385931.88</v>
      </c>
      <c r="T13" s="11">
        <v>3012638706</v>
      </c>
      <c r="U13" s="11">
        <f>T13*2%</f>
        <v>60252774.120000005</v>
      </c>
      <c r="V13" s="11">
        <f>T13-U13</f>
        <v>2952385931.88</v>
      </c>
      <c r="W13" s="11">
        <v>4518958059</v>
      </c>
      <c r="X13" s="11">
        <f>W13*2%</f>
        <v>90379161.18</v>
      </c>
      <c r="Y13" s="11">
        <f>W13-X13</f>
        <v>4428578897.82</v>
      </c>
      <c r="Z13" s="11">
        <v>3012638706</v>
      </c>
      <c r="AA13" s="11">
        <f>Z13*2%</f>
        <v>60252774.120000005</v>
      </c>
      <c r="AB13" s="11">
        <f>Z13-AA13</f>
        <v>2952385931.88</v>
      </c>
      <c r="AC13" s="11">
        <f>3012638706+718418697</f>
        <v>3731057403</v>
      </c>
      <c r="AD13" s="11">
        <f>AC13*2%</f>
        <v>74621148.06</v>
      </c>
      <c r="AE13" s="11">
        <f>AC13-AD13</f>
        <v>3656436254.94</v>
      </c>
      <c r="AF13" s="11">
        <f>3012638706</f>
        <v>3012638706</v>
      </c>
      <c r="AG13" s="11">
        <f>AF13*2%</f>
        <v>60252774.120000005</v>
      </c>
      <c r="AH13" s="11">
        <f>AF13-AG13</f>
        <v>2952385931.88</v>
      </c>
      <c r="AI13" s="11">
        <f>H13+K13+N13+Q13+T13+W13+Z13+AC13+AF13</f>
        <v>32351125110</v>
      </c>
      <c r="AJ13" s="12">
        <f>F13-AI13</f>
        <v>13746466979</v>
      </c>
      <c r="AK13" s="15">
        <f>AI13/F13</f>
        <v>0.7017964202455547</v>
      </c>
    </row>
    <row r="14" spans="1:37" ht="12.75">
      <c r="A14" s="10" t="s">
        <v>38</v>
      </c>
      <c r="B14" s="11">
        <v>11449462946</v>
      </c>
      <c r="C14" s="11">
        <v>10995455000</v>
      </c>
      <c r="D14" s="11">
        <v>24425160</v>
      </c>
      <c r="E14" s="11">
        <v>248906103</v>
      </c>
      <c r="F14" s="11">
        <f>B14-D14+E14</f>
        <v>11673943889</v>
      </c>
      <c r="G14" s="11">
        <f>F14*2%</f>
        <v>233478877.78</v>
      </c>
      <c r="H14" s="14">
        <f>685502267+76401970</f>
        <v>761904237</v>
      </c>
      <c r="I14" s="11">
        <f>H14*2%</f>
        <v>15238084.74</v>
      </c>
      <c r="J14" s="11">
        <f>H14-I14</f>
        <v>746666152.26</v>
      </c>
      <c r="K14" s="11">
        <v>1421274701</v>
      </c>
      <c r="L14" s="11">
        <f>K14*2%</f>
        <v>28425494.02</v>
      </c>
      <c r="M14" s="11">
        <f>K14-L14</f>
        <v>1392849206.98</v>
      </c>
      <c r="N14" s="11">
        <v>863497805</v>
      </c>
      <c r="O14" s="11">
        <f>N14*2%</f>
        <v>17269956.1</v>
      </c>
      <c r="P14" s="11">
        <f>N14-O14</f>
        <v>846227848.9</v>
      </c>
      <c r="Q14" s="11">
        <v>761669186</v>
      </c>
      <c r="R14" s="11">
        <f>Q14*2%</f>
        <v>15233383.72</v>
      </c>
      <c r="S14" s="11">
        <f>Q14-R14</f>
        <v>746435802.28</v>
      </c>
      <c r="T14" s="11">
        <v>761669186</v>
      </c>
      <c r="U14" s="11">
        <f>T14*2%</f>
        <v>15233383.72</v>
      </c>
      <c r="V14" s="11">
        <f>T14-U14</f>
        <v>746435802.28</v>
      </c>
      <c r="W14" s="11">
        <v>1142503779</v>
      </c>
      <c r="X14" s="11">
        <f>W14*2%</f>
        <v>22850075.580000002</v>
      </c>
      <c r="Y14" s="11">
        <f>W14-X14</f>
        <v>1119653703.42</v>
      </c>
      <c r="Z14" s="11">
        <f>761669186+186679577</f>
        <v>948348763</v>
      </c>
      <c r="AA14" s="11">
        <f>Z14*2%</f>
        <v>18966975.26</v>
      </c>
      <c r="AB14" s="11">
        <f>Z14-AA14</f>
        <v>929381787.74</v>
      </c>
      <c r="AC14" s="11">
        <f>761669186+37335915</f>
        <v>799005101</v>
      </c>
      <c r="AD14" s="11">
        <f>AC14*2%</f>
        <v>15980102.02</v>
      </c>
      <c r="AE14" s="11">
        <f>AC14-AD14</f>
        <v>783024998.98</v>
      </c>
      <c r="AF14" s="11">
        <f>761669186</f>
        <v>761669186</v>
      </c>
      <c r="AG14" s="11">
        <f>AF14*2%</f>
        <v>15233383.72</v>
      </c>
      <c r="AH14" s="11">
        <f>AF14-AG14</f>
        <v>746435802.28</v>
      </c>
      <c r="AI14" s="11">
        <f>H14+K14+N14+Q14+T14+W14+Z14+AC14+AF14</f>
        <v>8221541944</v>
      </c>
      <c r="AJ14" s="12">
        <f>F14-AI14</f>
        <v>3452401945</v>
      </c>
      <c r="AK14" s="15">
        <f>AI14/F14</f>
        <v>0.704264301950852</v>
      </c>
    </row>
    <row r="15" spans="1:37" ht="12.75">
      <c r="A15" s="10" t="s">
        <v>39</v>
      </c>
      <c r="B15" s="11">
        <v>24515286279</v>
      </c>
      <c r="C15" s="11">
        <v>23749733000</v>
      </c>
      <c r="D15" s="11">
        <v>52650099</v>
      </c>
      <c r="E15" s="11">
        <v>532945341</v>
      </c>
      <c r="F15" s="11">
        <f>B15-D15+E15</f>
        <v>24995581521</v>
      </c>
      <c r="G15" s="11">
        <f>F15*2%</f>
        <v>499911630.42</v>
      </c>
      <c r="H15" s="14">
        <f>1467758171+163587519</f>
        <v>1631345690</v>
      </c>
      <c r="I15" s="11">
        <f>H15*2%</f>
        <v>32626913.8</v>
      </c>
      <c r="J15" s="11">
        <f>H15-I15</f>
        <v>1598718776.2</v>
      </c>
      <c r="K15" s="11">
        <v>3043151941</v>
      </c>
      <c r="L15" s="11">
        <f>K15*2%</f>
        <v>60863038.82</v>
      </c>
      <c r="M15" s="11">
        <f>K15-L15</f>
        <v>2982288902.18</v>
      </c>
      <c r="N15" s="11">
        <v>1848872017</v>
      </c>
      <c r="O15" s="11">
        <f>N15*2%</f>
        <v>36977440.34</v>
      </c>
      <c r="P15" s="11">
        <f>N15-O15</f>
        <v>1811894576.66</v>
      </c>
      <c r="Q15" s="11">
        <v>1630842412</v>
      </c>
      <c r="R15" s="11">
        <f>Q15*2%</f>
        <v>32616848.240000002</v>
      </c>
      <c r="S15" s="11">
        <f>Q15-R15</f>
        <v>1598225563.76</v>
      </c>
      <c r="T15" s="11">
        <v>1630842412</v>
      </c>
      <c r="U15" s="11">
        <f>T15*2%</f>
        <v>32616848.240000002</v>
      </c>
      <c r="V15" s="11">
        <f>T15-U15</f>
        <v>1598225563.76</v>
      </c>
      <c r="W15" s="11">
        <v>2446263618</v>
      </c>
      <c r="X15" s="11">
        <f>W15*2%</f>
        <v>48925272.36</v>
      </c>
      <c r="Y15" s="11">
        <f>W15-X15</f>
        <v>2397338345.64</v>
      </c>
      <c r="Z15" s="11">
        <v>1630842412</v>
      </c>
      <c r="AA15" s="11">
        <f>Z15*2%</f>
        <v>32616848.240000002</v>
      </c>
      <c r="AB15" s="11">
        <f>Z15-AA15</f>
        <v>1598225563.76</v>
      </c>
      <c r="AC15" s="11">
        <f>1630842412+269883521</f>
        <v>1900725933</v>
      </c>
      <c r="AD15" s="11">
        <f>AC15*2%</f>
        <v>38014518.660000004</v>
      </c>
      <c r="AE15" s="11">
        <f>AC15-AD15</f>
        <v>1862711414.34</v>
      </c>
      <c r="AF15" s="11">
        <f>1630842412</f>
        <v>1630842412</v>
      </c>
      <c r="AG15" s="11">
        <f>AF15*2%</f>
        <v>32616848.240000002</v>
      </c>
      <c r="AH15" s="11">
        <f>AF15-AG15</f>
        <v>1598225563.76</v>
      </c>
      <c r="AI15" s="11">
        <f>H15+K15+N15+Q15+T15+W15+Z15+AC15+AF15</f>
        <v>17393728847</v>
      </c>
      <c r="AJ15" s="12">
        <f>F15-AI15</f>
        <v>7601852674</v>
      </c>
      <c r="AK15" s="15">
        <f>AI15/F15</f>
        <v>0.6958721417377981</v>
      </c>
    </row>
    <row r="16" spans="1:37" ht="12.75">
      <c r="A16" s="10" t="s">
        <v>40</v>
      </c>
      <c r="B16" s="11">
        <v>10571903871</v>
      </c>
      <c r="C16" s="11">
        <v>10157909000</v>
      </c>
      <c r="D16" s="11">
        <v>22390291</v>
      </c>
      <c r="E16" s="11">
        <v>229827208</v>
      </c>
      <c r="F16" s="11">
        <f>B16-D16+E16</f>
        <v>10779340788</v>
      </c>
      <c r="G16" s="11">
        <f>F16*2%</f>
        <v>215586815.76</v>
      </c>
      <c r="H16" s="14">
        <f>632970815+70547129</f>
        <v>703517944</v>
      </c>
      <c r="I16" s="11">
        <f>H16*2%</f>
        <v>14070358.88</v>
      </c>
      <c r="J16" s="11">
        <f>H16-I16</f>
        <v>689447585.12</v>
      </c>
      <c r="K16" s="11">
        <v>1312359489</v>
      </c>
      <c r="L16" s="11">
        <f>K16*2%</f>
        <v>26247189.78</v>
      </c>
      <c r="M16" s="11">
        <f>K16-L16</f>
        <v>1286112299.22</v>
      </c>
      <c r="N16" s="11">
        <v>797326188</v>
      </c>
      <c r="O16" s="11">
        <f>N16*2%</f>
        <v>15946523.76</v>
      </c>
      <c r="P16" s="11">
        <f>N16-O16</f>
        <v>781379664.24</v>
      </c>
      <c r="Q16" s="11">
        <v>703300905</v>
      </c>
      <c r="R16" s="11">
        <f>Q16*2%</f>
        <v>14066018.1</v>
      </c>
      <c r="S16" s="11">
        <f>Q16-R16</f>
        <v>689234886.9</v>
      </c>
      <c r="T16" s="11">
        <v>703300905</v>
      </c>
      <c r="U16" s="11">
        <f>T16*2%</f>
        <v>14066018.1</v>
      </c>
      <c r="V16" s="11">
        <f>T16-U16</f>
        <v>689234886.9</v>
      </c>
      <c r="W16" s="11">
        <v>1054951358</v>
      </c>
      <c r="X16" s="11">
        <f>W16*2%</f>
        <v>21099027.16</v>
      </c>
      <c r="Y16" s="11">
        <f>W16-X16</f>
        <v>1033852330.84</v>
      </c>
      <c r="Z16" s="11">
        <f>703300905+172370406</f>
        <v>875671311</v>
      </c>
      <c r="AA16" s="11">
        <f>Z16*2%</f>
        <v>17513426.22</v>
      </c>
      <c r="AB16" s="11">
        <f>Z16-AA16</f>
        <v>858157884.78</v>
      </c>
      <c r="AC16" s="11">
        <v>703300905</v>
      </c>
      <c r="AD16" s="11">
        <f>AC16*2%</f>
        <v>14066018.1</v>
      </c>
      <c r="AE16" s="11">
        <f>AC16-AD16</f>
        <v>689234886.9</v>
      </c>
      <c r="AF16" s="11">
        <v>703300905</v>
      </c>
      <c r="AG16" s="11">
        <f>AF16*2%</f>
        <v>14066018.1</v>
      </c>
      <c r="AH16" s="11">
        <f>AF16-AG16</f>
        <v>689234886.9</v>
      </c>
      <c r="AI16" s="11">
        <f>H16+K16+N16+Q16+T16+W16+Z16+AC16+AF16</f>
        <v>7557029910</v>
      </c>
      <c r="AJ16" s="12">
        <f>F16-AI16</f>
        <v>3222310878</v>
      </c>
      <c r="AK16" s="15">
        <f>AI16/F16</f>
        <v>0.7010660539105316</v>
      </c>
    </row>
    <row r="17" spans="1:37" ht="12.75">
      <c r="A17" s="10" t="s">
        <v>41</v>
      </c>
      <c r="B17" s="11">
        <v>7966958090</v>
      </c>
      <c r="C17" s="11">
        <v>7651219000</v>
      </c>
      <c r="D17" s="11">
        <v>17470685</v>
      </c>
      <c r="E17" s="11">
        <v>173194198</v>
      </c>
      <c r="F17" s="11">
        <f>B17-D17+E17</f>
        <v>8122681603</v>
      </c>
      <c r="G17" s="11">
        <f>F17*2%</f>
        <v>162453632.06</v>
      </c>
      <c r="H17" s="14">
        <f>476969244+53160130</f>
        <v>530129374</v>
      </c>
      <c r="I17" s="11">
        <f>H17*2%</f>
        <v>10602587.48</v>
      </c>
      <c r="J17" s="11">
        <f>H17-I17</f>
        <v>519526786.52</v>
      </c>
      <c r="K17" s="11">
        <v>988916233</v>
      </c>
      <c r="L17" s="11">
        <f>K17*2%</f>
        <v>19778324.66</v>
      </c>
      <c r="M17" s="11">
        <f>K17-L17</f>
        <v>969137908.34</v>
      </c>
      <c r="N17" s="11">
        <v>600817701</v>
      </c>
      <c r="O17" s="11">
        <f>N17*2%</f>
        <v>12016354.02</v>
      </c>
      <c r="P17" s="11">
        <f>N17-O17</f>
        <v>588801346.98</v>
      </c>
      <c r="Q17" s="11">
        <v>529965827</v>
      </c>
      <c r="R17" s="11">
        <f>Q17*2%</f>
        <v>10599316.540000001</v>
      </c>
      <c r="S17" s="11">
        <f>Q17-R17</f>
        <v>519366510.46</v>
      </c>
      <c r="T17" s="11">
        <v>529965827</v>
      </c>
      <c r="U17" s="11">
        <f>T17*2%</f>
        <v>10599316.540000001</v>
      </c>
      <c r="V17" s="11">
        <f>T17-U17</f>
        <v>519366510.46</v>
      </c>
      <c r="W17" s="11">
        <v>794948741</v>
      </c>
      <c r="X17" s="11">
        <f>W17*2%</f>
        <v>15898974.82</v>
      </c>
      <c r="Y17" s="11">
        <f>W17-X17</f>
        <v>779049766.18</v>
      </c>
      <c r="Z17" s="11">
        <v>529965827</v>
      </c>
      <c r="AA17" s="11">
        <f>Z17*2%</f>
        <v>10599316.540000001</v>
      </c>
      <c r="AB17" s="11">
        <f>Z17-AA17</f>
        <v>519366510.46</v>
      </c>
      <c r="AC17" s="11">
        <f>529965827+113009214</f>
        <v>642975041</v>
      </c>
      <c r="AD17" s="11">
        <f>AC17*2%</f>
        <v>12859500.82</v>
      </c>
      <c r="AE17" s="11">
        <f>AC17-AD17</f>
        <v>630115540.18</v>
      </c>
      <c r="AF17" s="11">
        <f>529965827</f>
        <v>529965827</v>
      </c>
      <c r="AG17" s="11">
        <f>AF17*2%</f>
        <v>10599316.540000001</v>
      </c>
      <c r="AH17" s="11">
        <f>AF17-AG17</f>
        <v>519366510.46</v>
      </c>
      <c r="AI17" s="11">
        <f>H17+K17+N17+Q17+T17+W17+Z17+AC17+AF17</f>
        <v>5677650398</v>
      </c>
      <c r="AJ17" s="12">
        <f>F17-AI17</f>
        <v>2445031205</v>
      </c>
      <c r="AK17" s="15">
        <f>AI17/F17</f>
        <v>0.6989871911146976</v>
      </c>
    </row>
    <row r="18" spans="1:37" ht="12.75">
      <c r="A18" s="10" t="s">
        <v>42</v>
      </c>
      <c r="B18" s="11">
        <v>4028894283</v>
      </c>
      <c r="C18" s="11"/>
      <c r="D18" s="11">
        <v>8209683</v>
      </c>
      <c r="E18" s="11">
        <v>87584373</v>
      </c>
      <c r="F18" s="11">
        <f>B18-D18+E18</f>
        <v>4108268973</v>
      </c>
      <c r="G18" s="11">
        <f>F18*2%</f>
        <v>82165379.46000001</v>
      </c>
      <c r="H18" s="14">
        <f>241241076+26887283</f>
        <v>268128359</v>
      </c>
      <c r="I18" s="11">
        <f>H18*2%</f>
        <v>5362567.18</v>
      </c>
      <c r="J18" s="11">
        <f>H18-I18</f>
        <v>262765791.82</v>
      </c>
      <c r="K18" s="11">
        <v>500173164</v>
      </c>
      <c r="L18" s="11">
        <f>K18*2%</f>
        <v>10003463.28</v>
      </c>
      <c r="M18" s="11">
        <f>K18-L18</f>
        <v>490169700.72</v>
      </c>
      <c r="N18" s="11">
        <v>303881037</v>
      </c>
      <c r="O18" s="11">
        <f>N18*2%</f>
        <v>6077620.74</v>
      </c>
      <c r="P18" s="11">
        <f>N18-O18</f>
        <v>297803416.26</v>
      </c>
      <c r="Q18" s="11">
        <v>268045640</v>
      </c>
      <c r="R18" s="11">
        <f>Q18*2%</f>
        <v>5360912.8</v>
      </c>
      <c r="S18" s="11">
        <f>Q18-R18</f>
        <v>262684727.2</v>
      </c>
      <c r="T18" s="11">
        <v>268045640</v>
      </c>
      <c r="U18" s="11">
        <f>T18*2%</f>
        <v>5360912.8</v>
      </c>
      <c r="V18" s="11">
        <f>T18-U18</f>
        <v>262684727.2</v>
      </c>
      <c r="W18" s="11">
        <v>402068460</v>
      </c>
      <c r="X18" s="11">
        <f>W18*2%</f>
        <v>8041369.2</v>
      </c>
      <c r="Y18" s="11">
        <f>W18-X18</f>
        <v>394027090.8</v>
      </c>
      <c r="Z18" s="11">
        <v>268045640</v>
      </c>
      <c r="AA18" s="11">
        <f>Z18*2%</f>
        <v>5360912.8</v>
      </c>
      <c r="AB18" s="11">
        <f>Z18-AA18</f>
        <v>262684727.2</v>
      </c>
      <c r="AC18" s="11">
        <f>268045640+61309061</f>
        <v>329354701</v>
      </c>
      <c r="AD18" s="11">
        <f>AC18*2%</f>
        <v>6587094.0200000005</v>
      </c>
      <c r="AE18" s="11">
        <f>AC18-AD18</f>
        <v>322767606.98</v>
      </c>
      <c r="AF18" s="11">
        <f>268045640</f>
        <v>268045640</v>
      </c>
      <c r="AG18" s="11">
        <f>AF18*2%</f>
        <v>5360912.8</v>
      </c>
      <c r="AH18" s="11">
        <f>AF18-AG18</f>
        <v>262684727.2</v>
      </c>
      <c r="AI18" s="11">
        <f>H18+K18+N18+Q18+T18+W18+Z18+AC18+AF18</f>
        <v>2875788281</v>
      </c>
      <c r="AJ18" s="12">
        <f>F18-AI18</f>
        <v>1232480692</v>
      </c>
      <c r="AK18" s="15">
        <f>AI18/F18</f>
        <v>0.6999999999756589</v>
      </c>
    </row>
    <row r="19" spans="1:37" ht="12.75">
      <c r="A19" s="10" t="s">
        <v>43</v>
      </c>
      <c r="B19" s="11">
        <v>3529929627</v>
      </c>
      <c r="C19" s="11">
        <v>150000000</v>
      </c>
      <c r="D19" s="11">
        <v>7192942</v>
      </c>
      <c r="E19" s="11">
        <v>76743390</v>
      </c>
      <c r="F19" s="11">
        <f>B19-D19+E19</f>
        <v>3599480075</v>
      </c>
      <c r="G19" s="11">
        <f>F19*2%</f>
        <v>71989601.5</v>
      </c>
      <c r="H19" s="14">
        <f>211364201+23557386</f>
        <v>234921587</v>
      </c>
      <c r="I19" s="11">
        <f>H19*2%</f>
        <v>4698431.74</v>
      </c>
      <c r="J19" s="11">
        <f>H19-I19</f>
        <v>230223155.26</v>
      </c>
      <c r="K19" s="11">
        <v>438228444</v>
      </c>
      <c r="L19" s="11">
        <f>K19*2%</f>
        <v>8764568.88</v>
      </c>
      <c r="M19" s="11">
        <f>K19-L19</f>
        <v>429463875.12</v>
      </c>
      <c r="N19" s="11">
        <v>266246418</v>
      </c>
      <c r="O19" s="11">
        <f>N19*2%</f>
        <v>5324928.36</v>
      </c>
      <c r="P19" s="11">
        <f>N19-O19</f>
        <v>260921489.64</v>
      </c>
      <c r="Q19" s="11">
        <v>234849112</v>
      </c>
      <c r="R19" s="11">
        <f>Q19*2%</f>
        <v>4696982.24</v>
      </c>
      <c r="S19" s="11">
        <f>Q19-R19</f>
        <v>230152129.76</v>
      </c>
      <c r="T19" s="11">
        <v>234849112</v>
      </c>
      <c r="U19" s="11">
        <f>T19*2%</f>
        <v>4696982.24</v>
      </c>
      <c r="V19" s="11">
        <f>T19-U19</f>
        <v>230152129.76</v>
      </c>
      <c r="W19" s="11">
        <v>552273668</v>
      </c>
      <c r="X19" s="11">
        <f>W19*2%</f>
        <v>11045473.36</v>
      </c>
      <c r="Y19" s="11">
        <f>W19-X19</f>
        <v>541228194.64</v>
      </c>
      <c r="Z19" s="11">
        <f>234849112+57557543</f>
        <v>292406655</v>
      </c>
      <c r="AA19" s="11">
        <f>Z19*2%</f>
        <v>5848133.100000001</v>
      </c>
      <c r="AB19" s="11">
        <v>0</v>
      </c>
      <c r="AC19" s="11">
        <f>234849112+11511509+150000000</f>
        <v>396360621</v>
      </c>
      <c r="AD19" s="11">
        <f>AC19*2%</f>
        <v>7927212.42</v>
      </c>
      <c r="AE19" s="11">
        <f>AC19-AD19</f>
        <v>388433408.58</v>
      </c>
      <c r="AF19" s="11">
        <f>234849112</f>
        <v>234849112</v>
      </c>
      <c r="AG19" s="11">
        <f>AF19*2%</f>
        <v>4696982.24</v>
      </c>
      <c r="AH19" s="11">
        <f>AF19-AG19</f>
        <v>230152129.76</v>
      </c>
      <c r="AI19" s="11">
        <f>H19+K19+N19+Q19+T19+W19+Z19+AC19+AF19</f>
        <v>2884984729</v>
      </c>
      <c r="AJ19" s="12">
        <f>F19-AI19</f>
        <v>714495346</v>
      </c>
      <c r="AK19" s="15">
        <f>AI19/F19</f>
        <v>0.8015004025268844</v>
      </c>
    </row>
    <row r="20" spans="1:37" ht="13.5" thickBot="1">
      <c r="A20" s="16" t="s">
        <v>44</v>
      </c>
      <c r="B20" s="17">
        <v>978035008</v>
      </c>
      <c r="C20" s="17">
        <v>941949082</v>
      </c>
      <c r="D20" s="17"/>
      <c r="E20" s="17">
        <v>21248465</v>
      </c>
      <c r="F20" s="17">
        <f>B20-D20+E20</f>
        <v>999283473</v>
      </c>
      <c r="G20" s="17">
        <f>F20*2%</f>
        <v>19985669.46</v>
      </c>
      <c r="H20" s="18">
        <f>58682100+6540355</f>
        <v>65222455</v>
      </c>
      <c r="I20" s="17">
        <f>H20*2%</f>
        <v>1304449.1</v>
      </c>
      <c r="J20" s="17">
        <f>H20-I20</f>
        <v>63918005.9</v>
      </c>
      <c r="K20" s="17">
        <v>121667555</v>
      </c>
      <c r="L20" s="17">
        <f>K20*2%</f>
        <v>2433351.1</v>
      </c>
      <c r="M20" s="11">
        <f>K20-L20</f>
        <v>119234203.9</v>
      </c>
      <c r="N20" s="11">
        <v>73919325</v>
      </c>
      <c r="O20" s="11">
        <f>N20*2%</f>
        <v>1478386.5</v>
      </c>
      <c r="P20" s="11">
        <f>N20-O20</f>
        <v>72440938.5</v>
      </c>
      <c r="Q20" s="11">
        <v>65202334</v>
      </c>
      <c r="R20" s="11">
        <f>Q20*2%</f>
        <v>1304046.68</v>
      </c>
      <c r="S20" s="11">
        <f>Q20-R20</f>
        <v>63898287.32</v>
      </c>
      <c r="T20" s="11">
        <v>65202334</v>
      </c>
      <c r="U20" s="11">
        <f>T20*2%</f>
        <v>1304046.68</v>
      </c>
      <c r="V20" s="11">
        <f>T20-U20</f>
        <v>63898287.32</v>
      </c>
      <c r="W20" s="11">
        <v>97803501</v>
      </c>
      <c r="X20" s="11">
        <f>W20*2%</f>
        <v>1956070.02</v>
      </c>
      <c r="Y20" s="11">
        <f>W20-X20</f>
        <v>95847430.98</v>
      </c>
      <c r="Z20" s="11">
        <f>65202334+15936349</f>
        <v>81138683</v>
      </c>
      <c r="AA20" s="11">
        <f>Z20*2%</f>
        <v>1622773.6600000001</v>
      </c>
      <c r="AB20" s="11">
        <f>Z20-AA20</f>
        <v>79515909.34</v>
      </c>
      <c r="AC20" s="11">
        <f>65202334+3187270</f>
        <v>68389604</v>
      </c>
      <c r="AD20" s="11">
        <f>AC20*2%</f>
        <v>1367792.08</v>
      </c>
      <c r="AE20" s="11">
        <f>AC20-AD20</f>
        <v>67021811.92</v>
      </c>
      <c r="AF20" s="11">
        <f>65202334</f>
        <v>65202334</v>
      </c>
      <c r="AG20" s="11">
        <f>AF20*2%</f>
        <v>1304046.68</v>
      </c>
      <c r="AH20" s="11">
        <f>AF20-AG20</f>
        <v>63898287.32</v>
      </c>
      <c r="AI20" s="11">
        <f>H20+K20+N20+Q20+T20+W20+Z20+AC20+AF20</f>
        <v>703748125</v>
      </c>
      <c r="AJ20" s="12">
        <f>F20-AI20</f>
        <v>295535348</v>
      </c>
      <c r="AK20" s="19">
        <f>AI20/F20</f>
        <v>0.7042527411038249</v>
      </c>
    </row>
    <row r="21" spans="1:37" ht="14.25" thickBot="1" thickTop="1">
      <c r="A21" s="20" t="s">
        <v>45</v>
      </c>
      <c r="B21" s="21">
        <f>SUM(B4:B20)</f>
        <v>786032520858</v>
      </c>
      <c r="C21" s="21">
        <f>SUM(C4:C20)</f>
        <v>733150300082</v>
      </c>
      <c r="D21" s="21">
        <f>SUM(D4:D19)</f>
        <v>1687913166</v>
      </c>
      <c r="E21" s="22"/>
      <c r="F21" s="23">
        <f>SUM(F4:F20)</f>
        <v>798706896505</v>
      </c>
      <c r="G21" s="21">
        <f>SUM(G4:G20)</f>
        <v>15974137930.100002</v>
      </c>
      <c r="H21" s="24">
        <f>SUM(H4:H20)</f>
        <v>52305744003</v>
      </c>
      <c r="I21" s="21">
        <f>SUM(I4:I20)</f>
        <v>1046114880.06</v>
      </c>
      <c r="J21" s="21">
        <f>H21-I21</f>
        <v>51259629122.94</v>
      </c>
      <c r="K21" s="21">
        <f>SUM(K4:K20)</f>
        <v>97572469196</v>
      </c>
      <c r="L21" s="21">
        <f>SUM(L4:L20)</f>
        <v>1951449383.9200003</v>
      </c>
      <c r="M21" s="21">
        <f>SUM(M4:M20)</f>
        <v>95621019812.07999</v>
      </c>
      <c r="N21" s="21">
        <f>SUM(N4:N20)</f>
        <v>59280348852</v>
      </c>
      <c r="O21" s="21">
        <f>SUM(O4:O20)</f>
        <v>1185606977.0399997</v>
      </c>
      <c r="P21" s="21">
        <f>SUM(P4:P20)</f>
        <v>58094741874.95999</v>
      </c>
      <c r="Q21" s="21">
        <f>SUM(Q4:Q20)</f>
        <v>36029092265</v>
      </c>
      <c r="R21" s="21">
        <f>SUM(R4:R20)</f>
        <v>720581845.3</v>
      </c>
      <c r="S21" s="21">
        <f>SUM(S4:S20)</f>
        <v>35308510419.7</v>
      </c>
      <c r="T21" s="21">
        <f>SUM(T4:T20)</f>
        <v>52400414699</v>
      </c>
      <c r="U21" s="21">
        <f>SUM(U4:U20)</f>
        <v>1048008293.9799999</v>
      </c>
      <c r="V21" s="21">
        <f>SUM(V4:V20)</f>
        <v>51352406405.020004</v>
      </c>
      <c r="W21" s="21">
        <f>SUM(W4:W20)</f>
        <v>95222118526</v>
      </c>
      <c r="X21" s="21">
        <f>SUM(X4:X20)</f>
        <v>1904442370.5199997</v>
      </c>
      <c r="Y21" s="21">
        <f>SUM(Y4:Y20)</f>
        <v>93317676155.48</v>
      </c>
      <c r="Z21" s="21">
        <f>SUM(Z4:Z20)</f>
        <v>58942751010</v>
      </c>
      <c r="AA21" s="21">
        <f>SUM(AA4:AA20)</f>
        <v>1178855020.2</v>
      </c>
      <c r="AB21" s="21">
        <f>Z21-AA21</f>
        <v>57763895989.8</v>
      </c>
      <c r="AC21" s="21">
        <f>SUM(AC4:AC20)</f>
        <v>56918429813</v>
      </c>
      <c r="AD21" s="21">
        <f>SUM(AD4:AD20)</f>
        <v>1138368596.26</v>
      </c>
      <c r="AE21" s="21">
        <f>SUM(AE4:AE20)</f>
        <v>55780061216.74001</v>
      </c>
      <c r="AF21" s="21">
        <f>SUM(AF4:AF20)</f>
        <v>52295436633</v>
      </c>
      <c r="AG21" s="21">
        <f>SUM(AG4:AG20)</f>
        <v>1045908732.66</v>
      </c>
      <c r="AH21" s="21">
        <f>AF21-AG21</f>
        <v>51249527900.34</v>
      </c>
      <c r="AI21" s="21">
        <f>SUM(AI4:AI20)</f>
        <v>560966804997</v>
      </c>
      <c r="AJ21" s="22">
        <f>SUM(AJ4:AJ20)</f>
        <v>237740091508</v>
      </c>
      <c r="AK21" s="25" t="s">
        <v>46</v>
      </c>
    </row>
    <row r="22" spans="1:37" ht="37.5" thickBot="1" thickTop="1">
      <c r="A22" s="26" t="s">
        <v>47</v>
      </c>
      <c r="B22" s="27" t="s">
        <v>2</v>
      </c>
      <c r="C22" s="27"/>
      <c r="D22" s="27" t="s">
        <v>48</v>
      </c>
      <c r="E22" s="27" t="s">
        <v>5</v>
      </c>
      <c r="F22" s="28" t="s">
        <v>49</v>
      </c>
      <c r="G22" s="27" t="s">
        <v>7</v>
      </c>
      <c r="H22" s="29" t="s">
        <v>8</v>
      </c>
      <c r="I22" s="29" t="s">
        <v>7</v>
      </c>
      <c r="J22" s="29" t="s">
        <v>9</v>
      </c>
      <c r="K22" s="29" t="s">
        <v>10</v>
      </c>
      <c r="L22" s="29" t="s">
        <v>7</v>
      </c>
      <c r="M22" s="29" t="s">
        <v>11</v>
      </c>
      <c r="N22" s="29" t="s">
        <v>12</v>
      </c>
      <c r="O22" s="29" t="s">
        <v>7</v>
      </c>
      <c r="P22" s="29" t="s">
        <v>14</v>
      </c>
      <c r="Q22" s="29" t="s">
        <v>15</v>
      </c>
      <c r="R22" s="29" t="s">
        <v>7</v>
      </c>
      <c r="S22" s="29" t="s">
        <v>16</v>
      </c>
      <c r="T22" s="29" t="s">
        <v>17</v>
      </c>
      <c r="U22" s="29" t="s">
        <v>7</v>
      </c>
      <c r="V22" s="29" t="s">
        <v>18</v>
      </c>
      <c r="W22" s="29" t="s">
        <v>19</v>
      </c>
      <c r="X22" s="29" t="s">
        <v>7</v>
      </c>
      <c r="Y22" s="29" t="s">
        <v>20</v>
      </c>
      <c r="Z22" s="29" t="s">
        <v>21</v>
      </c>
      <c r="AA22" s="29" t="s">
        <v>13</v>
      </c>
      <c r="AB22" s="29" t="s">
        <v>22</v>
      </c>
      <c r="AC22" s="29" t="s">
        <v>50</v>
      </c>
      <c r="AD22" s="29" t="s">
        <v>7</v>
      </c>
      <c r="AE22" s="29" t="s">
        <v>24</v>
      </c>
      <c r="AF22" s="29" t="s">
        <v>25</v>
      </c>
      <c r="AG22" s="29" t="s">
        <v>7</v>
      </c>
      <c r="AH22" s="29" t="s">
        <v>26</v>
      </c>
      <c r="AI22" s="29" t="s">
        <v>27</v>
      </c>
      <c r="AJ22" s="30" t="s">
        <v>28</v>
      </c>
      <c r="AK22" s="26" t="s">
        <v>51</v>
      </c>
    </row>
    <row r="23" spans="1:37" ht="13.5" thickTop="1">
      <c r="A23" s="10" t="s">
        <v>52</v>
      </c>
      <c r="B23" s="11">
        <v>144521956120</v>
      </c>
      <c r="C23" s="11"/>
      <c r="D23" s="11"/>
      <c r="E23" s="11">
        <v>3141768637</v>
      </c>
      <c r="F23" s="31">
        <f>B23-D23+E23</f>
        <v>147663724757</v>
      </c>
      <c r="G23" s="11">
        <f>F23*2%</f>
        <v>2953274495.14</v>
      </c>
      <c r="H23" s="11">
        <f>8671317367+966453006</f>
        <v>9637770373</v>
      </c>
      <c r="I23" s="11">
        <f>H23*2%</f>
        <v>192755407.46</v>
      </c>
      <c r="J23" s="11">
        <f>H23-I23</f>
        <v>9445014965.54</v>
      </c>
      <c r="K23" s="11">
        <v>17978531341</v>
      </c>
      <c r="L23" s="11">
        <f>K23*2%</f>
        <v>359570626.82</v>
      </c>
      <c r="M23" s="11">
        <f>K23-L23</f>
        <v>17618960714.18</v>
      </c>
      <c r="N23" s="11">
        <v>10922886585</v>
      </c>
      <c r="O23" s="11">
        <f>N23*2%</f>
        <v>218457731.70000002</v>
      </c>
      <c r="P23" s="11">
        <f>N23-O23</f>
        <v>10704428853.3</v>
      </c>
      <c r="Q23" s="11">
        <v>9634797075</v>
      </c>
      <c r="R23" s="11">
        <f>Q23*2%</f>
        <v>192695941.5</v>
      </c>
      <c r="S23" s="11">
        <f>Q23-R23</f>
        <v>9442101133.5</v>
      </c>
      <c r="T23" s="11">
        <v>9634797075</v>
      </c>
      <c r="U23" s="11">
        <f>T23*2%</f>
        <v>192695941.5</v>
      </c>
      <c r="V23" s="11">
        <f>T23-U23</f>
        <v>9442101133.5</v>
      </c>
      <c r="W23" s="11">
        <v>14452195613</v>
      </c>
      <c r="X23" s="11">
        <f>W23*2%</f>
        <v>289043912.26</v>
      </c>
      <c r="Y23" s="11">
        <f>W23-X23</f>
        <v>14163151700.74</v>
      </c>
      <c r="Z23" s="11">
        <f>9634797075+2356326478</f>
        <v>11991123553</v>
      </c>
      <c r="AA23" s="11">
        <f>Z23*2%</f>
        <v>239822471.06</v>
      </c>
      <c r="AB23" s="11">
        <f>Z23-AA23</f>
        <v>11751301081.94</v>
      </c>
      <c r="AC23" s="11">
        <f>9634797075+471265296</f>
        <v>10106062371</v>
      </c>
      <c r="AD23" s="11">
        <f>AC23*2%</f>
        <v>202121247.42000002</v>
      </c>
      <c r="AE23" s="11">
        <f>AC23-AD23</f>
        <v>9903941123.58</v>
      </c>
      <c r="AF23" s="11">
        <f>9634797075</f>
        <v>9634797075</v>
      </c>
      <c r="AG23" s="11">
        <f>AF23*2%</f>
        <v>192695941.5</v>
      </c>
      <c r="AH23" s="11">
        <f>AF23-AG23</f>
        <v>9442101133.5</v>
      </c>
      <c r="AI23" s="11">
        <f>H23+K23+N23+Q23+T23+W23+Z23+AC23+AF23</f>
        <v>103992961061</v>
      </c>
      <c r="AJ23" s="12">
        <f>F23-AI23</f>
        <v>43670763696</v>
      </c>
      <c r="AK23" s="32">
        <f>AI23/F23</f>
        <v>0.7042553019174752</v>
      </c>
    </row>
    <row r="24" spans="1:37" ht="12.75">
      <c r="A24" s="10" t="s">
        <v>53</v>
      </c>
      <c r="B24" s="11">
        <v>40043680653</v>
      </c>
      <c r="C24" s="11"/>
      <c r="D24" s="11"/>
      <c r="E24" s="11">
        <v>870523404</v>
      </c>
      <c r="F24" s="11">
        <f>B24-D24+E24</f>
        <v>40914204057</v>
      </c>
      <c r="G24" s="11">
        <f>F24*2%</f>
        <v>818284081.14</v>
      </c>
      <c r="H24" s="11">
        <f>2402620839+267781703</f>
        <v>2670402542</v>
      </c>
      <c r="I24" s="11">
        <f>H24*2%</f>
        <v>53408050.84</v>
      </c>
      <c r="J24" s="11">
        <f>H24-I24</f>
        <v>2616994491.16</v>
      </c>
      <c r="K24" s="11">
        <v>4981805196</v>
      </c>
      <c r="L24" s="11">
        <f>K24*2%</f>
        <v>99636103.92</v>
      </c>
      <c r="M24" s="11">
        <f>K24-L24</f>
        <v>4882169092.08</v>
      </c>
      <c r="N24" s="11">
        <v>3026107103</v>
      </c>
      <c r="O24" s="11">
        <f>N24*2%</f>
        <v>60522142.06</v>
      </c>
      <c r="P24" s="11">
        <f>N24-O24</f>
        <v>2965584960.94</v>
      </c>
      <c r="Q24" s="11">
        <v>2669578710</v>
      </c>
      <c r="R24" s="11">
        <f>Q24*2%</f>
        <v>53391574.2</v>
      </c>
      <c r="S24" s="11">
        <f>Q24-R24</f>
        <v>2616187135.8</v>
      </c>
      <c r="T24" s="11">
        <v>2669578710</v>
      </c>
      <c r="U24" s="11">
        <f>T24*2%</f>
        <v>53391574.2</v>
      </c>
      <c r="V24" s="11">
        <f>T24-U24</f>
        <v>2616187135.8</v>
      </c>
      <c r="W24" s="11">
        <v>4004368065</v>
      </c>
      <c r="X24" s="11">
        <f>W24*2%</f>
        <v>80087361.3</v>
      </c>
      <c r="Y24" s="11">
        <f>W24-X24</f>
        <v>3924280703.7</v>
      </c>
      <c r="Z24" s="11">
        <f>2669578710+652892553</f>
        <v>3322471263</v>
      </c>
      <c r="AA24" s="11">
        <f>Z24*2%</f>
        <v>66449425.26</v>
      </c>
      <c r="AB24" s="11">
        <f>Z24-AA24</f>
        <v>3256021837.74</v>
      </c>
      <c r="AC24" s="11">
        <f>2669578710+130578511</f>
        <v>2800157221</v>
      </c>
      <c r="AD24" s="11">
        <f>AC24*2%</f>
        <v>56003144.42</v>
      </c>
      <c r="AE24" s="11">
        <f>AC24-AD24</f>
        <v>2744154076.58</v>
      </c>
      <c r="AF24" s="11">
        <f>2669578710</f>
        <v>2669578710</v>
      </c>
      <c r="AG24" s="11">
        <f>AF24*2%</f>
        <v>53391574.2</v>
      </c>
      <c r="AH24" s="11">
        <f>AF24-AG24</f>
        <v>2616187135.8</v>
      </c>
      <c r="AI24" s="11">
        <f>H24+K24+N24+Q24+T24+W24+Z24+AC24+AF24</f>
        <v>28814047520</v>
      </c>
      <c r="AJ24" s="12">
        <f>SUM(F24-AI24)</f>
        <v>12100156537</v>
      </c>
      <c r="AK24" s="15">
        <f>AI24/F24</f>
        <v>0.7042553603109923</v>
      </c>
    </row>
    <row r="25" spans="1:37" ht="12.75">
      <c r="A25" s="10" t="s">
        <v>54</v>
      </c>
      <c r="B25" s="11">
        <v>30047304223</v>
      </c>
      <c r="C25" s="11"/>
      <c r="D25" s="11"/>
      <c r="E25" s="11">
        <v>653197811</v>
      </c>
      <c r="F25" s="11">
        <f>B25-D25+E25</f>
        <v>30700502034</v>
      </c>
      <c r="G25" s="11">
        <f>F25*2%</f>
        <v>614010040.6800001</v>
      </c>
      <c r="H25" s="11">
        <f>1802838253+200933535</f>
        <v>2003771788</v>
      </c>
      <c r="I25" s="11">
        <f>H25*2%</f>
        <v>40075435.76</v>
      </c>
      <c r="J25" s="11">
        <f>H25-I25</f>
        <v>1963696352.24</v>
      </c>
      <c r="K25" s="11">
        <v>3737884645</v>
      </c>
      <c r="L25" s="11">
        <f>K25*2%</f>
        <v>74757692.9</v>
      </c>
      <c r="M25" s="11">
        <f>K25-L25</f>
        <v>3663126952.1</v>
      </c>
      <c r="N25" s="11">
        <v>2270958026</v>
      </c>
      <c r="O25" s="11">
        <f>N25*2%</f>
        <v>45419160.52</v>
      </c>
      <c r="P25" s="11">
        <f>N25-O25</f>
        <v>2225538865.48</v>
      </c>
      <c r="Q25" s="11">
        <v>2003153615</v>
      </c>
      <c r="R25" s="11">
        <f>Q25*2%</f>
        <v>40063072.300000004</v>
      </c>
      <c r="S25" s="11">
        <f>Q25-R25</f>
        <v>1963090542.7</v>
      </c>
      <c r="T25" s="11">
        <v>2003153615</v>
      </c>
      <c r="U25" s="11">
        <f>T25*2%</f>
        <v>40063072.300000004</v>
      </c>
      <c r="V25" s="11">
        <f>T25-U25</f>
        <v>1963090542.7</v>
      </c>
      <c r="W25" s="11">
        <v>3004730423</v>
      </c>
      <c r="X25" s="11">
        <f>W25*2%</f>
        <v>60094608.46</v>
      </c>
      <c r="Y25" s="11">
        <f>W25-X25</f>
        <v>2944635814.54</v>
      </c>
      <c r="Z25" s="11">
        <v>2003153615</v>
      </c>
      <c r="AA25" s="11">
        <f>Z25*2%</f>
        <v>40063072.300000004</v>
      </c>
      <c r="AB25" s="11">
        <f>Z25-AA25</f>
        <v>1963090542.7</v>
      </c>
      <c r="AC25" s="11">
        <f>2003153615+292632619</f>
        <v>2295786234</v>
      </c>
      <c r="AD25" s="11">
        <f>AC25*2%</f>
        <v>45915724.68</v>
      </c>
      <c r="AE25" s="11">
        <f>AC25-AD25</f>
        <v>2249870509.32</v>
      </c>
      <c r="AF25" s="11">
        <f>2003153615</f>
        <v>2003153615</v>
      </c>
      <c r="AG25" s="11">
        <f>AF25*2%</f>
        <v>40063072.300000004</v>
      </c>
      <c r="AH25" s="11">
        <f>AF25-AG25</f>
        <v>1963090542.7</v>
      </c>
      <c r="AI25" s="11">
        <f>H25+K25+N25+Q25+T25+W25+Z25+AC25+AF25</f>
        <v>21325745576</v>
      </c>
      <c r="AJ25" s="12">
        <f>SUM(F25-AI25)</f>
        <v>9374756458</v>
      </c>
      <c r="AK25" s="15">
        <f>AI25/F25</f>
        <v>0.6946383336787879</v>
      </c>
    </row>
    <row r="26" spans="1:37" ht="12.75">
      <c r="A26" s="10" t="s">
        <v>55</v>
      </c>
      <c r="B26" s="11">
        <v>13913340011</v>
      </c>
      <c r="C26" s="11"/>
      <c r="D26" s="11"/>
      <c r="E26" s="11">
        <v>302464148</v>
      </c>
      <c r="F26" s="11">
        <f>B26-D26+E26</f>
        <v>14215804159</v>
      </c>
      <c r="G26" s="11">
        <f>F26*2%</f>
        <v>284316083.18</v>
      </c>
      <c r="H26" s="11">
        <f>834800401+93041844</f>
        <v>927842245</v>
      </c>
      <c r="I26" s="11">
        <f>H26*2%</f>
        <v>18556844.900000002</v>
      </c>
      <c r="J26" s="11">
        <f>H26-I26</f>
        <v>909285400.1</v>
      </c>
      <c r="K26" s="11">
        <v>1730819497</v>
      </c>
      <c r="L26" s="11">
        <f>K26*2%</f>
        <v>34616389.94</v>
      </c>
      <c r="M26" s="11">
        <f>K26-L26</f>
        <v>1696203107.06</v>
      </c>
      <c r="N26" s="11">
        <v>1051562261</v>
      </c>
      <c r="O26" s="11">
        <f>N26*2%</f>
        <v>21031245.22</v>
      </c>
      <c r="P26" s="11">
        <f>N26-O26</f>
        <v>1030531015.78</v>
      </c>
      <c r="Q26" s="11">
        <v>927556001</v>
      </c>
      <c r="R26" s="11">
        <f>Q26*2%</f>
        <v>18551120.02</v>
      </c>
      <c r="S26" s="11">
        <f>Q26-R26</f>
        <v>909004880.98</v>
      </c>
      <c r="T26" s="11">
        <v>927556001</v>
      </c>
      <c r="U26" s="11">
        <f>T26*2%</f>
        <v>18551120.02</v>
      </c>
      <c r="V26" s="11">
        <f>T26-U26</f>
        <v>909004880.98</v>
      </c>
      <c r="W26" s="11">
        <v>1391334002</v>
      </c>
      <c r="X26" s="11">
        <f>W26*2%</f>
        <v>27826680.04</v>
      </c>
      <c r="Y26" s="11">
        <f>W26-X26</f>
        <v>1363507321.96</v>
      </c>
      <c r="Z26" s="11">
        <f>927556001+226848111</f>
        <v>1154404112</v>
      </c>
      <c r="AA26" s="11">
        <f>Z26*2%</f>
        <v>23088082.240000002</v>
      </c>
      <c r="AB26" s="11">
        <f>Z26-AA26</f>
        <v>1131316029.76</v>
      </c>
      <c r="AC26" s="11">
        <f>927556001+45369622</f>
        <v>972925623</v>
      </c>
      <c r="AD26" s="11">
        <f>AC26*2%</f>
        <v>19458512.46</v>
      </c>
      <c r="AE26" s="11">
        <f>AC26-AD26</f>
        <v>953467110.54</v>
      </c>
      <c r="AF26" s="11">
        <f>927556001</f>
        <v>927556001</v>
      </c>
      <c r="AG26" s="11">
        <f>AF26*2%</f>
        <v>18551120.02</v>
      </c>
      <c r="AH26" s="11">
        <f>AF26-AG26</f>
        <v>909004880.98</v>
      </c>
      <c r="AI26" s="11">
        <f>H26+K26+N26+Q26+T26+W26+Z26+AC26+AF26</f>
        <v>10011555743</v>
      </c>
      <c r="AJ26" s="12">
        <f>SUM(F26-AI26)</f>
        <v>4204248416</v>
      </c>
      <c r="AK26" s="15">
        <f>AI26/F26</f>
        <v>0.7042553225286029</v>
      </c>
    </row>
    <row r="27" spans="1:37" ht="12.75">
      <c r="A27" s="10" t="s">
        <v>56</v>
      </c>
      <c r="B27" s="11">
        <v>57533872426</v>
      </c>
      <c r="C27" s="11"/>
      <c r="D27" s="11"/>
      <c r="E27" s="11">
        <v>1250737264</v>
      </c>
      <c r="F27" s="11">
        <f>B27-D27+E27</f>
        <v>58784609690</v>
      </c>
      <c r="G27" s="11">
        <f>F27*2%</f>
        <v>1175692193.8</v>
      </c>
      <c r="H27" s="11">
        <f>3452032346+384742813</f>
        <v>3836775159</v>
      </c>
      <c r="I27" s="11">
        <f>H27*2%</f>
        <v>76735503.18</v>
      </c>
      <c r="J27" s="11">
        <f>H27-I27</f>
        <v>3760039655.82</v>
      </c>
      <c r="K27" s="11">
        <v>7157213730</v>
      </c>
      <c r="L27" s="11">
        <f>K27*2%</f>
        <v>143144274.6</v>
      </c>
      <c r="M27" s="11">
        <f>K27-L27</f>
        <v>7014069455.4</v>
      </c>
      <c r="N27" s="11">
        <v>4348377091</v>
      </c>
      <c r="O27" s="11">
        <f>N27*2%</f>
        <v>86967541.82000001</v>
      </c>
      <c r="P27" s="11">
        <f>N27-O27</f>
        <v>4261409549.18</v>
      </c>
      <c r="Q27" s="11">
        <v>3835591495</v>
      </c>
      <c r="R27" s="11">
        <f>Q27*2%</f>
        <v>76711829.9</v>
      </c>
      <c r="S27" s="11">
        <f>Q27-R27</f>
        <v>3758879665.1</v>
      </c>
      <c r="T27" s="11">
        <v>3835591495</v>
      </c>
      <c r="U27" s="11">
        <f>T27*2%</f>
        <v>76711829.9</v>
      </c>
      <c r="V27" s="11">
        <f>T27-U27</f>
        <v>3758879665.1</v>
      </c>
      <c r="W27" s="11">
        <v>5753387243</v>
      </c>
      <c r="X27" s="11">
        <f>W27*2%</f>
        <v>115067744.86</v>
      </c>
      <c r="Y27" s="11">
        <f>W27-X27</f>
        <v>5638319498.14</v>
      </c>
      <c r="Z27" s="11">
        <f>3835591495+938052948</f>
        <v>4773644443</v>
      </c>
      <c r="AA27" s="11">
        <f>Z27*2%</f>
        <v>95472888.86</v>
      </c>
      <c r="AB27" s="11">
        <f>Z27-AA27</f>
        <v>4678171554.14</v>
      </c>
      <c r="AC27" s="11">
        <f>3835591495+187610590</f>
        <v>4023202085</v>
      </c>
      <c r="AD27" s="11">
        <f>AC27*2%</f>
        <v>80464041.7</v>
      </c>
      <c r="AE27" s="11">
        <f>AC27-AD27</f>
        <v>3942738043.3</v>
      </c>
      <c r="AF27" s="11">
        <f>3835591495</f>
        <v>3835591495</v>
      </c>
      <c r="AG27" s="11">
        <f>AF27*2%</f>
        <v>76711829.9</v>
      </c>
      <c r="AH27" s="11">
        <f>AF27-AG27</f>
        <v>3758879665.1</v>
      </c>
      <c r="AI27" s="11">
        <f>H27+K27+N27+Q27+T27+W27+Z27+AC27+AF27</f>
        <v>41399374236</v>
      </c>
      <c r="AJ27" s="12">
        <f>SUM(F27-AI27)</f>
        <v>17385235454</v>
      </c>
      <c r="AK27" s="15">
        <f>AI27/F27</f>
        <v>0.7042553221722344</v>
      </c>
    </row>
    <row r="28" spans="1:37" ht="12.75">
      <c r="A28" s="10" t="s">
        <v>57</v>
      </c>
      <c r="B28" s="11">
        <v>24979988496</v>
      </c>
      <c r="C28" s="11"/>
      <c r="D28" s="11"/>
      <c r="E28" s="11">
        <v>543038222</v>
      </c>
      <c r="F28" s="11">
        <f>B28-D28+E28</f>
        <v>25523026718</v>
      </c>
      <c r="G28" s="11">
        <f>F28*2%</f>
        <v>510460534.36</v>
      </c>
      <c r="H28" s="11">
        <f>1498799310+167047178</f>
        <v>1665846488</v>
      </c>
      <c r="I28" s="11">
        <f>H28*2%</f>
        <v>33316929.76</v>
      </c>
      <c r="J28" s="11">
        <f>H28-I28</f>
        <v>1632529558.24</v>
      </c>
      <c r="K28" s="11">
        <v>3107510569</v>
      </c>
      <c r="L28" s="11">
        <f>K28*2%</f>
        <v>62150211.38</v>
      </c>
      <c r="M28" s="11">
        <f>K28-L28</f>
        <v>3045360357.62</v>
      </c>
      <c r="N28" s="11">
        <v>1887973209</v>
      </c>
      <c r="O28" s="11">
        <f>N28*2%</f>
        <v>37759464.18</v>
      </c>
      <c r="P28" s="11">
        <f>N28-O28</f>
        <v>1850213744.82</v>
      </c>
      <c r="Q28" s="11">
        <v>1665332566</v>
      </c>
      <c r="R28" s="11">
        <f>Q28*2%</f>
        <v>33306651.32</v>
      </c>
      <c r="S28" s="11">
        <f>Q28-R28</f>
        <v>1632025914.68</v>
      </c>
      <c r="T28" s="11">
        <v>1665332566</v>
      </c>
      <c r="U28" s="11">
        <f>T28*2%</f>
        <v>33306651.32</v>
      </c>
      <c r="V28" s="11">
        <f>T28-U28</f>
        <v>1632025914.68</v>
      </c>
      <c r="W28" s="11">
        <v>2497998849</v>
      </c>
      <c r="X28" s="11">
        <f>W28*2%</f>
        <v>49959976.980000004</v>
      </c>
      <c r="Y28" s="11">
        <f>W28-X28</f>
        <v>2448038872.02</v>
      </c>
      <c r="Z28" s="11">
        <f>1665332566+407278666</f>
        <v>2072611232</v>
      </c>
      <c r="AA28" s="11">
        <f>Z28*2%</f>
        <v>41452224.64</v>
      </c>
      <c r="AB28" s="11">
        <f>Z28-AA28</f>
        <v>2031159007.36</v>
      </c>
      <c r="AC28" s="11">
        <f>1665332566+81455733</f>
        <v>1746788299</v>
      </c>
      <c r="AD28" s="11">
        <f>AC28*2%</f>
        <v>34935765.980000004</v>
      </c>
      <c r="AE28" s="11">
        <f>AC28-AD28</f>
        <v>1711852533.02</v>
      </c>
      <c r="AF28" s="11">
        <f>1665332566</f>
        <v>1665332566</v>
      </c>
      <c r="AG28" s="11">
        <f>AF28*2%</f>
        <v>33306651.32</v>
      </c>
      <c r="AH28" s="11">
        <f>AF28-AG28</f>
        <v>1632025914.68</v>
      </c>
      <c r="AI28" s="11">
        <f>H28+K28+N28+Q28+T28+W28+Z28+AC28+AF28</f>
        <v>17974726344</v>
      </c>
      <c r="AJ28" s="12">
        <f>SUM(F28-AI28)</f>
        <v>7548300374</v>
      </c>
      <c r="AK28" s="15">
        <f>AI28/F28</f>
        <v>0.7042552806373629</v>
      </c>
    </row>
    <row r="29" spans="1:37" ht="12.75">
      <c r="A29" s="10" t="s">
        <v>58</v>
      </c>
      <c r="B29" s="11">
        <v>19966527987</v>
      </c>
      <c r="C29" s="11"/>
      <c r="D29" s="11"/>
      <c r="E29" s="11">
        <v>434048172</v>
      </c>
      <c r="F29" s="11">
        <f>B29-D29+E29</f>
        <v>20400576159</v>
      </c>
      <c r="G29" s="11">
        <f>F29*2%</f>
        <v>408011523.18</v>
      </c>
      <c r="H29" s="11">
        <f>1197991679+133520965</f>
        <v>1331512644</v>
      </c>
      <c r="I29" s="11">
        <f>H29*2%</f>
        <v>26630252.88</v>
      </c>
      <c r="J29" s="11">
        <f>H29-I29</f>
        <v>1304882391.12</v>
      </c>
      <c r="K29" s="11">
        <v>2483836082</v>
      </c>
      <c r="L29" s="11">
        <f>K29*2%</f>
        <v>49676721.64</v>
      </c>
      <c r="M29" s="11">
        <f>K29-L29</f>
        <v>2434159360.36</v>
      </c>
      <c r="N29" s="11">
        <v>1509058737</v>
      </c>
      <c r="O29" s="11">
        <f>N29*2%</f>
        <v>30181174.740000002</v>
      </c>
      <c r="P29" s="11">
        <f>N29-O29</f>
        <v>1478877562.26</v>
      </c>
      <c r="Q29" s="11">
        <v>1331101866</v>
      </c>
      <c r="R29" s="11">
        <f>Q29*2%</f>
        <v>26622037.32</v>
      </c>
      <c r="S29" s="11">
        <f>Q29-R29</f>
        <v>1304479828.68</v>
      </c>
      <c r="T29" s="11">
        <v>1331101866</v>
      </c>
      <c r="U29" s="11">
        <f>T29*2%</f>
        <v>26622037.32</v>
      </c>
      <c r="V29" s="11">
        <f>T29-U29</f>
        <v>1304479828.68</v>
      </c>
      <c r="W29" s="11">
        <v>1996652799</v>
      </c>
      <c r="X29" s="11">
        <f>W29*2%</f>
        <v>39933055.980000004</v>
      </c>
      <c r="Y29" s="11">
        <f>W29-X29</f>
        <v>1956719743.02</v>
      </c>
      <c r="Z29" s="11">
        <f>1331101866+325536129</f>
        <v>1656637995</v>
      </c>
      <c r="AA29" s="11">
        <f>Z29*2%</f>
        <v>33132759.900000002</v>
      </c>
      <c r="AB29" s="11">
        <f>Z29-AA29</f>
        <v>1623505235.1</v>
      </c>
      <c r="AC29" s="11">
        <f>1331101866+65107226</f>
        <v>1396209092</v>
      </c>
      <c r="AD29" s="11">
        <f>AC29*2%</f>
        <v>27924181.84</v>
      </c>
      <c r="AE29" s="11">
        <f>AC29-AD29</f>
        <v>1368284910.16</v>
      </c>
      <c r="AF29" s="11">
        <f>1331101866</f>
        <v>1331101866</v>
      </c>
      <c r="AG29" s="11">
        <f>AF29*2%</f>
        <v>26622037.32</v>
      </c>
      <c r="AH29" s="11">
        <f>AF29-AG29</f>
        <v>1304479828.68</v>
      </c>
      <c r="AI29" s="11">
        <f>H29+K29+N29+Q29+T29+W29+Z29+AC29+AF29</f>
        <v>14367212947</v>
      </c>
      <c r="AJ29" s="12">
        <f>SUM(F29-AI29)</f>
        <v>6033363212</v>
      </c>
      <c r="AK29" s="15">
        <f>AI29/F29</f>
        <v>0.7042552541175021</v>
      </c>
    </row>
    <row r="30" spans="1:37" ht="12.75">
      <c r="A30" s="10" t="s">
        <v>59</v>
      </c>
      <c r="B30" s="11">
        <v>108148853633</v>
      </c>
      <c r="C30" s="11"/>
      <c r="D30" s="11"/>
      <c r="E30" s="11">
        <v>2351048833</v>
      </c>
      <c r="F30" s="11">
        <f>B30-D30+E30</f>
        <v>110499902466</v>
      </c>
      <c r="G30" s="11">
        <f>F30*2%</f>
        <v>2209998049.32</v>
      </c>
      <c r="H30" s="11">
        <f>6488931218+723217340</f>
        <v>7212148558</v>
      </c>
      <c r="I30" s="11">
        <f>H30*2%</f>
        <v>144242971.16</v>
      </c>
      <c r="J30" s="11">
        <f>H30-I30</f>
        <v>7067905586.84</v>
      </c>
      <c r="K30" s="11">
        <v>13453717392</v>
      </c>
      <c r="L30" s="11">
        <f>K30*2%</f>
        <v>269074347.84000003</v>
      </c>
      <c r="M30" s="11">
        <f>K30-L30</f>
        <v>13184643044.16</v>
      </c>
      <c r="N30" s="11">
        <v>8173828352</v>
      </c>
      <c r="O30" s="11">
        <f>N30*2%</f>
        <v>163476567.04</v>
      </c>
      <c r="P30" s="11">
        <f>N30-O30</f>
        <v>8010351784.96</v>
      </c>
      <c r="Q30" s="11">
        <v>7209923576</v>
      </c>
      <c r="R30" s="11">
        <f>Q30*2%</f>
        <v>144198471.52</v>
      </c>
      <c r="S30" s="11">
        <f>Q30-R30</f>
        <v>7065725104.48</v>
      </c>
      <c r="T30" s="11">
        <v>7209923576</v>
      </c>
      <c r="U30" s="11">
        <f>T30*2%</f>
        <v>144198471.52</v>
      </c>
      <c r="V30" s="11">
        <f>T30-U30</f>
        <v>7065725104.48</v>
      </c>
      <c r="W30" s="11">
        <v>10814885364</v>
      </c>
      <c r="X30" s="11">
        <f>W30*2%</f>
        <v>216297707.28</v>
      </c>
      <c r="Y30" s="11">
        <f>W30-X30</f>
        <v>10598587656.72</v>
      </c>
      <c r="Z30" s="11">
        <f>7209923576+1763286625</f>
        <v>8973210201</v>
      </c>
      <c r="AA30" s="11">
        <f>Z30*2%</f>
        <v>179464204.02</v>
      </c>
      <c r="AB30" s="11">
        <f>Z30-AA30</f>
        <v>8793745996.98</v>
      </c>
      <c r="AC30" s="11">
        <f>7209923576+352657325</f>
        <v>7562580901</v>
      </c>
      <c r="AD30" s="11">
        <f>AC30*2%</f>
        <v>151251618.02</v>
      </c>
      <c r="AE30" s="11">
        <f>AC30-AD30</f>
        <v>7411329282.98</v>
      </c>
      <c r="AF30" s="11">
        <f>7209923576</f>
        <v>7209923576</v>
      </c>
      <c r="AG30" s="11">
        <f>AF30*2%</f>
        <v>144198471.52</v>
      </c>
      <c r="AH30" s="11">
        <f>AF30-AG30</f>
        <v>7065725104.48</v>
      </c>
      <c r="AI30" s="11">
        <f>H30+K30+N30+Q30+T30+W30+Z30+AC30+AF30</f>
        <v>77820141496</v>
      </c>
      <c r="AJ30" s="12">
        <f>SUM(F30-AI30)</f>
        <v>32679760970</v>
      </c>
      <c r="AK30" s="15">
        <f>AI30/F30</f>
        <v>0.7042552957903713</v>
      </c>
    </row>
    <row r="31" spans="1:37" ht="12.75">
      <c r="A31" s="10" t="s">
        <v>60</v>
      </c>
      <c r="B31" s="11">
        <v>8401819006</v>
      </c>
      <c r="C31" s="11"/>
      <c r="D31" s="11"/>
      <c r="E31" s="11">
        <v>182645625</v>
      </c>
      <c r="F31" s="11">
        <f>B31-D31+E31</f>
        <v>8584464631</v>
      </c>
      <c r="G31" s="11">
        <f>F31*2%</f>
        <v>171689292.62</v>
      </c>
      <c r="H31" s="11">
        <f>504109140+56184980</f>
        <v>560294120</v>
      </c>
      <c r="I31" s="11">
        <f>H31*2%</f>
        <v>11205882.4</v>
      </c>
      <c r="J31" s="11">
        <f>H31-I31</f>
        <v>549088237.6</v>
      </c>
      <c r="K31" s="11">
        <v>1045186284</v>
      </c>
      <c r="L31" s="11">
        <f>K31*2%</f>
        <v>20903725.68</v>
      </c>
      <c r="M31" s="11">
        <f>K31-L31</f>
        <v>1024282558.32</v>
      </c>
      <c r="N31" s="11">
        <v>635004664</v>
      </c>
      <c r="O31" s="11">
        <f>N31*2%</f>
        <v>12700093.280000001</v>
      </c>
      <c r="P31" s="11">
        <f>N31-O31</f>
        <v>622304570.72</v>
      </c>
      <c r="Q31" s="11">
        <v>560121267</v>
      </c>
      <c r="R31" s="11">
        <f>Q31*2%</f>
        <v>11202425.34</v>
      </c>
      <c r="S31" s="11">
        <f>Q31-R31</f>
        <v>548918841.66</v>
      </c>
      <c r="T31" s="11">
        <v>560121267</v>
      </c>
      <c r="U31" s="11">
        <f>T31*2%</f>
        <v>11202425.34</v>
      </c>
      <c r="V31" s="11">
        <f>T31-U31</f>
        <v>548918841.66</v>
      </c>
      <c r="W31" s="11">
        <v>840181901</v>
      </c>
      <c r="X31" s="11">
        <f>W31*2%</f>
        <v>16803638.02</v>
      </c>
      <c r="Y31" s="11">
        <f>W31-X31</f>
        <v>823378262.98</v>
      </c>
      <c r="Z31" s="11">
        <f>560121267+136984220</f>
        <v>697105487</v>
      </c>
      <c r="AA31" s="11">
        <f>Z31*2%</f>
        <v>13942109.74</v>
      </c>
      <c r="AB31" s="11">
        <f>Z31-AA31</f>
        <v>683163377.26</v>
      </c>
      <c r="AC31" s="11">
        <f>560121267+27396844</f>
        <v>587518111</v>
      </c>
      <c r="AD31" s="11">
        <f>AC31*2%</f>
        <v>11750362.22</v>
      </c>
      <c r="AE31" s="11">
        <f>AC31-AD31</f>
        <v>575767748.78</v>
      </c>
      <c r="AF31" s="11">
        <f>560121267</f>
        <v>560121267</v>
      </c>
      <c r="AG31" s="11">
        <f>AF31*2%</f>
        <v>11202425.34</v>
      </c>
      <c r="AH31" s="11">
        <f>AF31-AG31</f>
        <v>548918841.66</v>
      </c>
      <c r="AI31" s="11">
        <f>H31+K31+N31+Q31+T31+W31+Z31+AC31+AF31</f>
        <v>6045654368</v>
      </c>
      <c r="AJ31" s="12">
        <f>SUM(F31-AI31)</f>
        <v>2538810263</v>
      </c>
      <c r="AK31" s="15">
        <f>AI31/F31</f>
        <v>0.7042552596894729</v>
      </c>
    </row>
    <row r="32" spans="1:37" ht="12.75">
      <c r="A32" s="10" t="s">
        <v>61</v>
      </c>
      <c r="B32" s="11">
        <v>57868458165</v>
      </c>
      <c r="C32" s="11"/>
      <c r="D32" s="11"/>
      <c r="E32" s="11">
        <v>1258012248</v>
      </c>
      <c r="F32" s="11">
        <f>B32-D32+E32</f>
        <v>59126470413</v>
      </c>
      <c r="G32" s="11">
        <f>F32*2%</f>
        <v>1182529408.26</v>
      </c>
      <c r="H32" s="11">
        <f>3472107490+386980268</f>
        <v>3859087758</v>
      </c>
      <c r="I32" s="11">
        <f>H32*2%</f>
        <v>77181755.16</v>
      </c>
      <c r="J32" s="11">
        <f>H32-I32</f>
        <v>3781906002.84</v>
      </c>
      <c r="K32" s="11">
        <v>7198836196</v>
      </c>
      <c r="L32" s="11">
        <f>K32*2%</f>
        <v>143976723.92000002</v>
      </c>
      <c r="M32" s="11">
        <f>K32-L32</f>
        <v>7054859472.08</v>
      </c>
      <c r="N32" s="11">
        <v>4373664890</v>
      </c>
      <c r="O32" s="11">
        <f>N32*2%</f>
        <v>87473297.8</v>
      </c>
      <c r="P32" s="11">
        <f>N32-O32</f>
        <v>4286191592.2</v>
      </c>
      <c r="Q32" s="11">
        <v>3857897211</v>
      </c>
      <c r="R32" s="11">
        <f>Q32*2%</f>
        <v>77157944.22</v>
      </c>
      <c r="S32" s="11">
        <f>Q32-R32</f>
        <v>3780739266.78</v>
      </c>
      <c r="T32" s="11">
        <v>3857897211</v>
      </c>
      <c r="U32" s="11">
        <f>T32*2%</f>
        <v>77157944.22</v>
      </c>
      <c r="V32" s="11">
        <f>T32-U32</f>
        <v>3780739266.78</v>
      </c>
      <c r="W32" s="11">
        <v>5786845817</v>
      </c>
      <c r="X32" s="11">
        <f>W32*2%</f>
        <v>115736916.34</v>
      </c>
      <c r="Y32" s="11">
        <f>W32-X32</f>
        <v>5671108900.66</v>
      </c>
      <c r="Z32" s="11">
        <f>3857897211+943509186</f>
        <v>4801406397</v>
      </c>
      <c r="AA32" s="11">
        <f>Z32*2%</f>
        <v>96028127.94</v>
      </c>
      <c r="AB32" s="11">
        <f>Z32-AA32</f>
        <v>4705378269.06</v>
      </c>
      <c r="AC32" s="11">
        <f>3857897211+188701837</f>
        <v>4046599048</v>
      </c>
      <c r="AD32" s="11">
        <f>AC32*2%</f>
        <v>80931980.96000001</v>
      </c>
      <c r="AE32" s="11">
        <f>AC32-AD32</f>
        <v>3965667067.04</v>
      </c>
      <c r="AF32" s="11">
        <f>3857897211</f>
        <v>3857897211</v>
      </c>
      <c r="AG32" s="11">
        <f>AF32*2%</f>
        <v>77157944.22</v>
      </c>
      <c r="AH32" s="11">
        <f>AF32-AG32</f>
        <v>3780739266.78</v>
      </c>
      <c r="AI32" s="11">
        <f>H32+K32+N32+Q32+T32+W32+Z32+AC32+AF32</f>
        <v>41640131739</v>
      </c>
      <c r="AJ32" s="12">
        <f>SUM(F32-AI32)</f>
        <v>17486338674</v>
      </c>
      <c r="AK32" s="15">
        <f>AI32/F32</f>
        <v>0.7042553267283257</v>
      </c>
    </row>
    <row r="33" spans="1:37" ht="12.75">
      <c r="A33" s="10" t="s">
        <v>62</v>
      </c>
      <c r="B33" s="11">
        <v>21129942019</v>
      </c>
      <c r="C33" s="11"/>
      <c r="D33" s="11"/>
      <c r="E33" s="11">
        <v>459352463</v>
      </c>
      <c r="F33" s="11">
        <f>B33-D33+E33</f>
        <v>21589294482</v>
      </c>
      <c r="G33" s="11">
        <f>F33*2%</f>
        <v>431785889.64</v>
      </c>
      <c r="H33" s="11">
        <f>1267796521+141300993</f>
        <v>1409097514</v>
      </c>
      <c r="I33" s="11">
        <f>H33*2%</f>
        <v>28181950.28</v>
      </c>
      <c r="J33" s="11">
        <f>H33-I33</f>
        <v>1380915563.72</v>
      </c>
      <c r="K33" s="11">
        <v>2628564787</v>
      </c>
      <c r="L33" s="11">
        <f>K33*2%</f>
        <v>52571295.74</v>
      </c>
      <c r="M33" s="11">
        <f>K33-L33</f>
        <v>2575993491.26</v>
      </c>
      <c r="N33" s="11">
        <v>1596988904</v>
      </c>
      <c r="O33" s="11">
        <f>N33*2%</f>
        <v>31939778.080000002</v>
      </c>
      <c r="P33" s="11">
        <f>N33-O33</f>
        <v>1565049125.92</v>
      </c>
      <c r="Q33" s="11">
        <v>1408662801</v>
      </c>
      <c r="R33" s="11">
        <f>Q33*2%</f>
        <v>28173256.02</v>
      </c>
      <c r="S33" s="11">
        <f>Q33-R33</f>
        <v>1380489544.98</v>
      </c>
      <c r="T33" s="11">
        <v>1408662801</v>
      </c>
      <c r="U33" s="11">
        <f>T33*2%</f>
        <v>28173256.02</v>
      </c>
      <c r="V33" s="11">
        <f>T33-U33</f>
        <v>1380489544.98</v>
      </c>
      <c r="W33" s="11">
        <v>2112994202</v>
      </c>
      <c r="X33" s="11">
        <f>W33*2%</f>
        <v>42259884.04</v>
      </c>
      <c r="Y33" s="11">
        <f>W33-X33</f>
        <v>2070734317.96</v>
      </c>
      <c r="Z33" s="11">
        <f>1408662801+344514347</f>
        <v>1753177148</v>
      </c>
      <c r="AA33" s="11">
        <f>Z33*2%</f>
        <v>35063542.96</v>
      </c>
      <c r="AB33" s="11">
        <f>Z33-AA33</f>
        <v>1718113605.04</v>
      </c>
      <c r="AC33" s="11">
        <f>1408662801+68902869</f>
        <v>1477565670</v>
      </c>
      <c r="AD33" s="11">
        <f>AC33*2%</f>
        <v>29551313.400000002</v>
      </c>
      <c r="AE33" s="11">
        <f>AC33-AD33</f>
        <v>1448014356.6</v>
      </c>
      <c r="AF33" s="11">
        <f>1408662801</f>
        <v>1408662801</v>
      </c>
      <c r="AG33" s="11">
        <f>AF33*2%</f>
        <v>28173256.02</v>
      </c>
      <c r="AH33" s="11">
        <f>AF33-AG33</f>
        <v>1380489544.98</v>
      </c>
      <c r="AI33" s="11">
        <f>H33+K33+N33+Q33+T33+W33+Z33+AC33+AF33</f>
        <v>15204376628</v>
      </c>
      <c r="AJ33" s="12">
        <f>SUM(F33-AI33)</f>
        <v>6384917854</v>
      </c>
      <c r="AK33" s="15">
        <f>AI33/F33</f>
        <v>0.7042553725262581</v>
      </c>
    </row>
    <row r="34" spans="1:37" ht="12.75">
      <c r="A34" s="10" t="s">
        <v>63</v>
      </c>
      <c r="B34" s="11">
        <v>15073538704</v>
      </c>
      <c r="C34" s="11"/>
      <c r="D34" s="11"/>
      <c r="E34" s="11">
        <v>327692760</v>
      </c>
      <c r="F34" s="11">
        <f>B34-D34+E34</f>
        <v>15401231464</v>
      </c>
      <c r="G34" s="11">
        <f>F34*2%</f>
        <v>308024629.28000003</v>
      </c>
      <c r="H34" s="11">
        <f>904412322+100800371</f>
        <v>1005212693</v>
      </c>
      <c r="I34" s="11">
        <f>H34*2%</f>
        <v>20104253.86</v>
      </c>
      <c r="J34" s="11">
        <f>H34-I34</f>
        <v>985108439.14</v>
      </c>
      <c r="K34" s="11">
        <v>1875148215</v>
      </c>
      <c r="L34" s="11">
        <f>K34*2%</f>
        <v>37502964.300000004</v>
      </c>
      <c r="M34" s="11">
        <f>K34-L34</f>
        <v>1837645250.7</v>
      </c>
      <c r="N34" s="11">
        <v>1139249413</v>
      </c>
      <c r="O34" s="11">
        <f>N34*2%</f>
        <v>22784988.26</v>
      </c>
      <c r="P34" s="11">
        <f>N34-O34</f>
        <v>1116464424.74</v>
      </c>
      <c r="Q34" s="11">
        <v>1004902580</v>
      </c>
      <c r="R34" s="11">
        <f>Q34*2%</f>
        <v>20098051.6</v>
      </c>
      <c r="S34" s="11">
        <f>Q34-R34</f>
        <v>984804528.4</v>
      </c>
      <c r="T34" s="11">
        <v>1004902580</v>
      </c>
      <c r="U34" s="11">
        <f>T34*2%</f>
        <v>20098051.6</v>
      </c>
      <c r="V34" s="11">
        <f>T34-U34</f>
        <v>984804528.4</v>
      </c>
      <c r="W34" s="11">
        <v>1507353870</v>
      </c>
      <c r="X34" s="11">
        <f>W34*2%</f>
        <v>30147077.400000002</v>
      </c>
      <c r="Y34" s="11">
        <f>W34-X34</f>
        <v>1477206792.6</v>
      </c>
      <c r="Z34" s="11">
        <v>1004902580</v>
      </c>
      <c r="AA34" s="11">
        <f>Z34*2%</f>
        <v>20098051.6</v>
      </c>
      <c r="AB34" s="11">
        <f>Z34-AA34</f>
        <v>984804528.4</v>
      </c>
      <c r="AC34" s="11">
        <f>1004902580+196451810</f>
        <v>1201354390</v>
      </c>
      <c r="AD34" s="11">
        <f>AC34*2%</f>
        <v>24027087.8</v>
      </c>
      <c r="AE34" s="11">
        <f>AC34-AD34</f>
        <v>1177327302.2</v>
      </c>
      <c r="AF34" s="11">
        <f>1004902580</f>
        <v>1004902580</v>
      </c>
      <c r="AG34" s="11">
        <f>AF34*2%</f>
        <v>20098051.6</v>
      </c>
      <c r="AH34" s="11">
        <f>AF34-AG34</f>
        <v>984804528.4</v>
      </c>
      <c r="AI34" s="11">
        <f>H34+K34+N34+Q34+T34+W34+Z34+AC34+AF34</f>
        <v>10747928901</v>
      </c>
      <c r="AJ34" s="12">
        <f>SUM(F34-AI34)</f>
        <v>4653302563</v>
      </c>
      <c r="AK34" s="15">
        <f>AI34/F34</f>
        <v>0.6978616564605902</v>
      </c>
    </row>
    <row r="35" spans="1:37" ht="12.75">
      <c r="A35" s="10" t="s">
        <v>64</v>
      </c>
      <c r="B35" s="11">
        <v>3638845866</v>
      </c>
      <c r="C35" s="11"/>
      <c r="D35" s="11"/>
      <c r="E35" s="11">
        <v>79113893</v>
      </c>
      <c r="F35" s="11">
        <f>B35-D35+E35</f>
        <v>3717959759</v>
      </c>
      <c r="G35" s="11">
        <f>F35*2%</f>
        <v>74359195.18</v>
      </c>
      <c r="H35" s="11">
        <f>218330752+24333836</f>
        <v>242664588</v>
      </c>
      <c r="I35" s="11">
        <f>H35*2%</f>
        <v>4853291.76</v>
      </c>
      <c r="J35" s="11">
        <f>H35-I35</f>
        <v>237811296.24</v>
      </c>
      <c r="K35" s="11">
        <v>452672426</v>
      </c>
      <c r="L35" s="11">
        <f>K35*2%</f>
        <v>9053448.52</v>
      </c>
      <c r="M35" s="11">
        <f>K35-L35</f>
        <v>443618977.48</v>
      </c>
      <c r="N35" s="11">
        <v>275021884</v>
      </c>
      <c r="O35" s="11">
        <f>N35*2%</f>
        <v>5500437.68</v>
      </c>
      <c r="P35" s="11">
        <f>N35-O35</f>
        <v>269521446.32</v>
      </c>
      <c r="Q35" s="11">
        <v>242589724</v>
      </c>
      <c r="R35" s="11">
        <f>Q35*2%</f>
        <v>4851794.48</v>
      </c>
      <c r="S35" s="11">
        <f>Q35-R35</f>
        <v>237737929.52</v>
      </c>
      <c r="T35" s="11">
        <v>242589724</v>
      </c>
      <c r="U35" s="11">
        <f>T35*2%</f>
        <v>4851794.48</v>
      </c>
      <c r="V35" s="11">
        <f>T35-U35</f>
        <v>237737929.52</v>
      </c>
      <c r="W35" s="11">
        <v>363884586</v>
      </c>
      <c r="X35" s="11">
        <f>W35*2%</f>
        <v>7277691.72</v>
      </c>
      <c r="Y35" s="11">
        <f>W35-X35</f>
        <v>356606894.28</v>
      </c>
      <c r="Z35" s="11">
        <f>242589724+71202504</f>
        <v>313792228</v>
      </c>
      <c r="AA35" s="11">
        <f>Z35*2%</f>
        <v>6275844.5600000005</v>
      </c>
      <c r="AB35" s="11">
        <f>Z35-AA35</f>
        <v>307516383.44</v>
      </c>
      <c r="AC35" s="11">
        <v>242589724</v>
      </c>
      <c r="AD35" s="11">
        <f>AC35*2%</f>
        <v>4851794.48</v>
      </c>
      <c r="AE35" s="11">
        <f>AC35-AD35</f>
        <v>237737929.52</v>
      </c>
      <c r="AF35" s="11">
        <v>242589724</v>
      </c>
      <c r="AG35" s="11">
        <f>AF35*2%</f>
        <v>4851794.48</v>
      </c>
      <c r="AH35" s="11">
        <f>AF35-AG35</f>
        <v>237737929.52</v>
      </c>
      <c r="AI35" s="11">
        <f>H35+K35+N35+Q35+T35+W35+Z35+AC35+AF35</f>
        <v>2618394608</v>
      </c>
      <c r="AJ35" s="12">
        <f>SUM(F35-AI35)</f>
        <v>1099565151</v>
      </c>
      <c r="AK35" s="15">
        <f>AI35/F35</f>
        <v>0.7042557686811155</v>
      </c>
    </row>
    <row r="36" spans="1:37" ht="12.75">
      <c r="A36" s="10" t="s">
        <v>65</v>
      </c>
      <c r="B36" s="11">
        <v>7799263438</v>
      </c>
      <c r="C36" s="11"/>
      <c r="D36" s="11"/>
      <c r="E36" s="11">
        <v>169554959</v>
      </c>
      <c r="F36" s="11">
        <f>B36-D36+E36</f>
        <v>7968818397</v>
      </c>
      <c r="G36" s="11">
        <f>F36*2%</f>
        <v>159376367.94</v>
      </c>
      <c r="H36" s="11">
        <f>467955806+52155546</f>
        <v>520111352</v>
      </c>
      <c r="I36" s="11">
        <f>H36*2%</f>
        <v>10402227.040000001</v>
      </c>
      <c r="J36" s="11">
        <f>H36-I36</f>
        <v>509709124.96</v>
      </c>
      <c r="K36" s="11">
        <v>970228372</v>
      </c>
      <c r="L36" s="11">
        <f>K36*2%</f>
        <v>19404567.44</v>
      </c>
      <c r="M36" s="11">
        <f>K36-L36</f>
        <v>950823804.56</v>
      </c>
      <c r="N36" s="11">
        <v>589463859</v>
      </c>
      <c r="O36" s="11">
        <f>N36*2%</f>
        <v>11789277.18</v>
      </c>
      <c r="P36" s="11">
        <f>N36-O36</f>
        <v>577674581.82</v>
      </c>
      <c r="Q36" s="11">
        <v>519950896</v>
      </c>
      <c r="R36" s="11">
        <f>Q36*2%</f>
        <v>10399017.92</v>
      </c>
      <c r="S36" s="11">
        <f>Q36-R36</f>
        <v>509551878.08</v>
      </c>
      <c r="T36" s="11">
        <v>519950896</v>
      </c>
      <c r="U36" s="11">
        <f>T36*2%</f>
        <v>10399017.92</v>
      </c>
      <c r="V36" s="11">
        <f>T36-U36</f>
        <v>509551878.08</v>
      </c>
      <c r="W36" s="11">
        <v>779926344</v>
      </c>
      <c r="X36" s="11">
        <f>W36*2%</f>
        <v>15598526.88</v>
      </c>
      <c r="Y36" s="11">
        <f>W36-X36</f>
        <v>764327817.12</v>
      </c>
      <c r="Z36" s="11">
        <f>519950896+152599463</f>
        <v>672550359</v>
      </c>
      <c r="AA36" s="11">
        <f>Z36*2%</f>
        <v>13451007.18</v>
      </c>
      <c r="AB36" s="11">
        <f>Z36-AA36</f>
        <v>659099351.82</v>
      </c>
      <c r="AC36" s="11">
        <v>519950896</v>
      </c>
      <c r="AD36" s="11">
        <f>AC36*2%</f>
        <v>10399017.92</v>
      </c>
      <c r="AE36" s="11">
        <f>AC36-AD36</f>
        <v>509551878.08</v>
      </c>
      <c r="AF36" s="11">
        <v>519950896</v>
      </c>
      <c r="AG36" s="11">
        <f>AF36*2%</f>
        <v>10399017.92</v>
      </c>
      <c r="AH36" s="11">
        <f>AF36-AG36</f>
        <v>509551878.08</v>
      </c>
      <c r="AI36" s="11">
        <f>H36+K36+N36+Q36+T36+W36+Z36+AC36+AF36</f>
        <v>5612083870</v>
      </c>
      <c r="AJ36" s="12">
        <f>SUM(F36-AI36)</f>
        <v>2356734527</v>
      </c>
      <c r="AK36" s="15">
        <f>AI36/F36</f>
        <v>0.7042554605225746</v>
      </c>
    </row>
    <row r="37" spans="1:37" ht="12.75">
      <c r="A37" s="10" t="s">
        <v>66</v>
      </c>
      <c r="B37" s="11">
        <v>1044201033</v>
      </c>
      <c r="C37" s="11"/>
      <c r="D37" s="11"/>
      <c r="E37" s="11"/>
      <c r="F37" s="11">
        <f>B37-D37+E37</f>
        <v>1044201033</v>
      </c>
      <c r="G37" s="11">
        <f>F37*2%</f>
        <v>20884020.66</v>
      </c>
      <c r="H37" s="11">
        <f>62652062+6982823</f>
        <v>69634885</v>
      </c>
      <c r="I37" s="11">
        <f>H37*2%</f>
        <v>1392697.7</v>
      </c>
      <c r="J37" s="11">
        <f>H37-I37</f>
        <v>68242187.3</v>
      </c>
      <c r="K37" s="11">
        <v>129898609</v>
      </c>
      <c r="L37" s="11">
        <f>K37*2%</f>
        <v>2597972.18</v>
      </c>
      <c r="M37" s="11">
        <f>K37-L37</f>
        <v>127300636.82</v>
      </c>
      <c r="N37" s="11">
        <v>78920115</v>
      </c>
      <c r="O37" s="11">
        <f>N37*2%</f>
        <v>1578402.3</v>
      </c>
      <c r="P37" s="11">
        <f>N37-O37</f>
        <v>77341712.7</v>
      </c>
      <c r="Q37" s="11">
        <v>69613402</v>
      </c>
      <c r="R37" s="11">
        <f>Q37*2%</f>
        <v>1392268.04</v>
      </c>
      <c r="S37" s="11">
        <f>Q37-R37</f>
        <v>68221133.96</v>
      </c>
      <c r="T37" s="11">
        <v>69613402</v>
      </c>
      <c r="U37" s="11">
        <f>T37*2%</f>
        <v>1392268.04</v>
      </c>
      <c r="V37" s="11">
        <f>T37-U37</f>
        <v>68221133.96</v>
      </c>
      <c r="W37" s="11">
        <v>104420103</v>
      </c>
      <c r="X37" s="11">
        <f>W37*2%</f>
        <v>2088402.06</v>
      </c>
      <c r="Y37" s="11">
        <f>W37-X37</f>
        <v>102331700.94</v>
      </c>
      <c r="Z37" s="11">
        <v>69613402</v>
      </c>
      <c r="AA37" s="11">
        <f>Z37*2%</f>
        <v>1392268.04</v>
      </c>
      <c r="AB37" s="11">
        <f>Z37-AA37</f>
        <v>68221133.96</v>
      </c>
      <c r="AC37" s="11">
        <v>69613402</v>
      </c>
      <c r="AD37" s="11">
        <f>AC37*2%</f>
        <v>1392268.04</v>
      </c>
      <c r="AE37" s="11">
        <f>AC37-AD37</f>
        <v>68221133.96</v>
      </c>
      <c r="AF37" s="11">
        <v>69613402</v>
      </c>
      <c r="AG37" s="11">
        <f>AF37*2%</f>
        <v>1392268.04</v>
      </c>
      <c r="AH37" s="11">
        <f>AF37-AG37</f>
        <v>68221133.96</v>
      </c>
      <c r="AI37" s="11">
        <f>H37+K37+N37+Q37+T37+W37+Z37+AC37+AF37</f>
        <v>730940722</v>
      </c>
      <c r="AJ37" s="12">
        <f>SUM(F37-AI37)</f>
        <v>313260311</v>
      </c>
      <c r="AK37" s="15">
        <f>AI37/F37</f>
        <v>0.699999998946563</v>
      </c>
    </row>
    <row r="38" spans="1:37" ht="12.75">
      <c r="A38" s="10" t="s">
        <v>67</v>
      </c>
      <c r="B38" s="11">
        <v>7874821588</v>
      </c>
      <c r="C38" s="11"/>
      <c r="D38" s="11"/>
      <c r="E38" s="11">
        <v>171200658</v>
      </c>
      <c r="F38" s="11">
        <f>B38-D38+E38</f>
        <v>8046022246</v>
      </c>
      <c r="G38" s="11">
        <f>F38*2%</f>
        <v>160920444.92000002</v>
      </c>
      <c r="H38" s="11">
        <f>472489295+52660822</f>
        <v>525150117</v>
      </c>
      <c r="I38" s="11">
        <f>H38*2%</f>
        <v>10503002.34</v>
      </c>
      <c r="J38" s="11">
        <f>H38-I38</f>
        <v>514647114.66</v>
      </c>
      <c r="K38" s="11">
        <v>979627806</v>
      </c>
      <c r="L38" s="11">
        <f>K38*2%</f>
        <v>19592556.12</v>
      </c>
      <c r="M38" s="11">
        <f>K38-L38</f>
        <v>960035249.88</v>
      </c>
      <c r="N38" s="11">
        <v>595174500</v>
      </c>
      <c r="O38" s="11">
        <f>N38*2%</f>
        <v>11903490</v>
      </c>
      <c r="P38" s="11">
        <f>N38-O38</f>
        <v>583271010</v>
      </c>
      <c r="Q38" s="11">
        <v>524988106</v>
      </c>
      <c r="R38" s="11">
        <f>Q38*2%</f>
        <v>10499762.120000001</v>
      </c>
      <c r="S38" s="11">
        <f>Q38-R38</f>
        <v>514488343.88</v>
      </c>
      <c r="T38" s="11">
        <v>524988106</v>
      </c>
      <c r="U38" s="11">
        <f>T38*2%</f>
        <v>10499762.120000001</v>
      </c>
      <c r="V38" s="11">
        <f>T38-U38</f>
        <v>514488343.88</v>
      </c>
      <c r="W38" s="11">
        <v>787482159</v>
      </c>
      <c r="X38" s="11">
        <f>W38*2%</f>
        <v>15749643.18</v>
      </c>
      <c r="Y38" s="11">
        <f>W38-X38</f>
        <v>771732515.82</v>
      </c>
      <c r="Z38" s="11">
        <f>524988106+154080592</f>
        <v>679068698</v>
      </c>
      <c r="AA38" s="11">
        <f>Z38*2%</f>
        <v>13581373.96</v>
      </c>
      <c r="AB38" s="11">
        <f>Z38-AA38</f>
        <v>665487324.04</v>
      </c>
      <c r="AC38" s="11">
        <v>524988106</v>
      </c>
      <c r="AD38" s="11">
        <f>AC38*2%</f>
        <v>10499762.120000001</v>
      </c>
      <c r="AE38" s="11">
        <f>AC38-AD38</f>
        <v>514488343.88</v>
      </c>
      <c r="AF38" s="11">
        <v>524988106</v>
      </c>
      <c r="AG38" s="11">
        <f>AF38*2%</f>
        <v>10499762.120000001</v>
      </c>
      <c r="AH38" s="11">
        <f>AF38-AG38</f>
        <v>514488343.88</v>
      </c>
      <c r="AI38" s="11">
        <f>H38+K38+N38+Q38+T38+W38+Z38+AC38+AF38</f>
        <v>5666455704</v>
      </c>
      <c r="AJ38" s="12">
        <f>SUM(F38-AI38)</f>
        <v>2379566542</v>
      </c>
      <c r="AK38" s="15">
        <f>AI38/F38</f>
        <v>0.7042555353133683</v>
      </c>
    </row>
    <row r="39" spans="1:37" ht="13.5" thickBot="1">
      <c r="A39" s="16" t="s">
        <v>68</v>
      </c>
      <c r="B39" s="17">
        <v>4455415766</v>
      </c>
      <c r="C39" s="17"/>
      <c r="D39" s="17"/>
      <c r="E39" s="17">
        <v>96859696</v>
      </c>
      <c r="F39" s="17">
        <f>B39-D39+E39</f>
        <v>4552275462</v>
      </c>
      <c r="G39" s="11">
        <f>F39*2%</f>
        <v>91045509.24</v>
      </c>
      <c r="H39" s="17">
        <f>267324946+29794435</f>
        <v>297119381</v>
      </c>
      <c r="I39" s="17">
        <f>H39*2%</f>
        <v>5942387.62</v>
      </c>
      <c r="J39" s="17">
        <f>H39-I39</f>
        <v>291176993.38</v>
      </c>
      <c r="K39" s="17">
        <v>554253721</v>
      </c>
      <c r="L39" s="11">
        <f>K39*2%</f>
        <v>11085074.42</v>
      </c>
      <c r="M39" s="11">
        <f>K39-L39</f>
        <v>543168646.58</v>
      </c>
      <c r="N39" s="17">
        <v>336737769</v>
      </c>
      <c r="O39" s="11">
        <f>N39*2%</f>
        <v>6734755.38</v>
      </c>
      <c r="P39" s="11">
        <f>N39-O39</f>
        <v>330003013.62</v>
      </c>
      <c r="Q39" s="11">
        <v>297027718</v>
      </c>
      <c r="R39" s="11">
        <f>Q39*2%</f>
        <v>5940554.36</v>
      </c>
      <c r="S39" s="11">
        <f>Q39-R39</f>
        <v>291087163.64</v>
      </c>
      <c r="T39" s="11">
        <v>297027718</v>
      </c>
      <c r="U39" s="11">
        <f>T39*2%</f>
        <v>5940554.36</v>
      </c>
      <c r="V39" s="11">
        <f>T39-U39</f>
        <v>291087163.64</v>
      </c>
      <c r="W39" s="11">
        <v>445541577</v>
      </c>
      <c r="X39" s="11">
        <f>W39*2%</f>
        <v>8910831.540000001</v>
      </c>
      <c r="Y39" s="11">
        <f>W39-X39</f>
        <v>436630745.46</v>
      </c>
      <c r="Z39" s="11">
        <v>297027718</v>
      </c>
      <c r="AA39" s="11">
        <f>Z39*2%</f>
        <v>5940554.36</v>
      </c>
      <c r="AB39" s="11">
        <f>Z39-AA39</f>
        <v>291087163.64</v>
      </c>
      <c r="AC39" s="11">
        <f>297027718+1820962</f>
        <v>298848680</v>
      </c>
      <c r="AD39" s="11">
        <f>AC39*2%</f>
        <v>5976973.600000001</v>
      </c>
      <c r="AE39" s="11">
        <f>AC39-AD39</f>
        <v>292871706.4</v>
      </c>
      <c r="AF39" s="11">
        <f>297027718</f>
        <v>297027718</v>
      </c>
      <c r="AG39" s="11">
        <f>AF39*2%</f>
        <v>5940554.36</v>
      </c>
      <c r="AH39" s="11">
        <f>AF39-AG39</f>
        <v>291087163.64</v>
      </c>
      <c r="AI39" s="11">
        <f>H39+K39+N39+Q39+T39+W39+Z39+AC39+AF39</f>
        <v>3120612000</v>
      </c>
      <c r="AJ39" s="12">
        <f>SUM(F39-AI39)</f>
        <v>1431663462</v>
      </c>
      <c r="AK39" s="19">
        <f>AI39/F39</f>
        <v>0.6855059686192602</v>
      </c>
    </row>
    <row r="40" spans="1:37" ht="14.25" thickBot="1" thickTop="1">
      <c r="A40" s="20" t="s">
        <v>69</v>
      </c>
      <c r="B40" s="21">
        <f>SUM(B23:B39)</f>
        <v>566441829134</v>
      </c>
      <c r="C40" s="21"/>
      <c r="D40" s="21"/>
      <c r="E40" s="21"/>
      <c r="F40" s="21">
        <f>SUM(F23:F39)</f>
        <v>578733087927</v>
      </c>
      <c r="G40" s="21">
        <f>SUM(G23:G39)</f>
        <v>11574661758.540003</v>
      </c>
      <c r="H40" s="21">
        <f>SUM(H23:H39)</f>
        <v>37774442205</v>
      </c>
      <c r="I40" s="21">
        <f>SUM(I23:I39)</f>
        <v>755488844.0999999</v>
      </c>
      <c r="J40" s="21">
        <f>SUM(J23:J39)</f>
        <v>37018953360.9</v>
      </c>
      <c r="K40" s="21">
        <f>SUM(K23:K39)</f>
        <v>70465734868</v>
      </c>
      <c r="L40" s="21">
        <f>SUM(L23:L39)</f>
        <v>1409314697.3600001</v>
      </c>
      <c r="M40" s="21">
        <f>SUM(M23:M39)</f>
        <v>69056420170.64</v>
      </c>
      <c r="N40" s="21">
        <f>SUM(N23:N39)</f>
        <v>42810977362</v>
      </c>
      <c r="O40" s="21">
        <f>SUM(O23:O39)</f>
        <v>856219547.2399998</v>
      </c>
      <c r="P40" s="21">
        <f>SUM(P23:P39)</f>
        <v>41954757814.759995</v>
      </c>
      <c r="Q40" s="21">
        <f>SUM(Q23:Q39)</f>
        <v>37762788609</v>
      </c>
      <c r="R40" s="21">
        <f>SUM(R23:R39)</f>
        <v>755255772.18</v>
      </c>
      <c r="S40" s="21">
        <f>SUM(S23:S39)</f>
        <v>37007532836.81999</v>
      </c>
      <c r="T40" s="21">
        <f>SUM(T23:T39)</f>
        <v>37762788609</v>
      </c>
      <c r="U40" s="21">
        <f>SUM(U23:U39)</f>
        <v>755255772.18</v>
      </c>
      <c r="V40" s="21">
        <f>SUM(V23:V39)</f>
        <v>37007532836.81999</v>
      </c>
      <c r="W40" s="21">
        <f>SUM(W23:W39)</f>
        <v>56644182917</v>
      </c>
      <c r="X40" s="21">
        <f>SUM(X23:X39)</f>
        <v>1132883658.3400002</v>
      </c>
      <c r="Y40" s="21">
        <f>SUM(Y23:Y39)</f>
        <v>55511299258.659996</v>
      </c>
      <c r="Z40" s="21">
        <f>SUM(Z23:Z39)</f>
        <v>46235900431</v>
      </c>
      <c r="AA40" s="21">
        <f>SUM(AA23:AA39)</f>
        <v>924718008.62</v>
      </c>
      <c r="AB40" s="21">
        <f>SUM(AB23:AB39)</f>
        <v>45311182422.380005</v>
      </c>
      <c r="AC40" s="21">
        <f>SUM(AC23:AC39)</f>
        <v>39872739853</v>
      </c>
      <c r="AD40" s="21">
        <f>SUM(AD23:AD39)</f>
        <v>797454797.06</v>
      </c>
      <c r="AE40" s="21">
        <f>SUM(AE23:AE39)</f>
        <v>39075285055.93999</v>
      </c>
      <c r="AF40" s="21">
        <f>SUM(AF23:AF39)</f>
        <v>37762788609</v>
      </c>
      <c r="AG40" s="21">
        <f>SUM(AG23:AG39)</f>
        <v>755255772.18</v>
      </c>
      <c r="AH40" s="21">
        <f>AF40-AG40</f>
        <v>37007532836.82</v>
      </c>
      <c r="AI40" s="21">
        <f>SUM(AI23:AI39)</f>
        <v>407092343463</v>
      </c>
      <c r="AJ40" s="22">
        <f>SUM(AJ23:AJ39)</f>
        <v>171640744464</v>
      </c>
      <c r="AK40" s="23"/>
    </row>
    <row r="41" spans="1:37" ht="37.5" thickBot="1" thickTop="1">
      <c r="A41" s="33" t="s">
        <v>70</v>
      </c>
      <c r="B41" s="34" t="s">
        <v>2</v>
      </c>
      <c r="C41" s="34">
        <f>SUM(C27:C40)</f>
        <v>0</v>
      </c>
      <c r="D41" s="35" t="s">
        <v>71</v>
      </c>
      <c r="E41" s="35"/>
      <c r="F41" s="35" t="s">
        <v>72</v>
      </c>
      <c r="G41" s="35"/>
      <c r="H41" s="35" t="s">
        <v>73</v>
      </c>
      <c r="I41" s="35"/>
      <c r="J41" s="35"/>
      <c r="K41" s="35" t="s">
        <v>74</v>
      </c>
      <c r="L41" s="35"/>
      <c r="M41" s="35"/>
      <c r="N41" s="35" t="s">
        <v>12</v>
      </c>
      <c r="O41" s="35"/>
      <c r="P41" s="35" t="s">
        <v>12</v>
      </c>
      <c r="Q41" s="35" t="s">
        <v>15</v>
      </c>
      <c r="R41" s="35"/>
      <c r="S41" s="35"/>
      <c r="T41" s="35" t="s">
        <v>17</v>
      </c>
      <c r="U41" s="35"/>
      <c r="V41" s="35"/>
      <c r="W41" s="35" t="s">
        <v>19</v>
      </c>
      <c r="X41" s="35"/>
      <c r="Y41" s="35"/>
      <c r="Z41" s="35"/>
      <c r="AA41" s="35" t="s">
        <v>46</v>
      </c>
      <c r="AB41" s="35"/>
      <c r="AC41" s="35" t="s">
        <v>50</v>
      </c>
      <c r="AD41" s="35"/>
      <c r="AE41" s="35"/>
      <c r="AF41" s="35" t="s">
        <v>25</v>
      </c>
      <c r="AG41" s="35"/>
      <c r="AH41" s="35"/>
      <c r="AI41" s="35" t="s">
        <v>27</v>
      </c>
      <c r="AJ41" s="36" t="s">
        <v>28</v>
      </c>
      <c r="AK41" s="37"/>
    </row>
    <row r="42" spans="1:37" ht="13.5" thickTop="1">
      <c r="A42" s="10" t="s">
        <v>29</v>
      </c>
      <c r="B42" s="11">
        <v>1072244372</v>
      </c>
      <c r="C42" s="38"/>
      <c r="D42" s="38"/>
      <c r="E42" s="38"/>
      <c r="F42" s="11">
        <f>B42-D42</f>
        <v>1072244372</v>
      </c>
      <c r="G42" s="11"/>
      <c r="H42" s="11"/>
      <c r="I42" s="11"/>
      <c r="J42" s="11"/>
      <c r="K42" s="12">
        <v>136562238</v>
      </c>
      <c r="L42" s="39"/>
      <c r="M42" s="39"/>
      <c r="N42" s="39">
        <v>52000000</v>
      </c>
      <c r="O42" s="39"/>
      <c r="P42" s="39"/>
      <c r="Q42" s="39">
        <v>15000000</v>
      </c>
      <c r="R42" s="39"/>
      <c r="S42" s="39"/>
      <c r="T42" s="39">
        <v>139949930</v>
      </c>
      <c r="U42" s="39"/>
      <c r="V42" s="39"/>
      <c r="W42" s="39">
        <v>52000000</v>
      </c>
      <c r="X42" s="39"/>
      <c r="Y42" s="39"/>
      <c r="Z42" s="39"/>
      <c r="AA42" s="39"/>
      <c r="AB42" s="39"/>
      <c r="AC42" s="39">
        <v>156000000</v>
      </c>
      <c r="AD42" s="39"/>
      <c r="AE42" s="39"/>
      <c r="AF42" s="39">
        <v>58000000</v>
      </c>
      <c r="AG42" s="39"/>
      <c r="AH42" s="39"/>
      <c r="AI42" s="39">
        <f>SUM(H42:AF42)</f>
        <v>609512168</v>
      </c>
      <c r="AJ42" s="39">
        <f>F42-AI42</f>
        <v>462732204</v>
      </c>
      <c r="AK42" s="19">
        <f>AI42/F42</f>
        <v>0.5684452014078746</v>
      </c>
    </row>
    <row r="43" spans="1:37" ht="13.5" thickBot="1">
      <c r="A43" s="40" t="s">
        <v>75</v>
      </c>
      <c r="B43" s="41">
        <v>58955546</v>
      </c>
      <c r="C43" s="42"/>
      <c r="D43" s="42"/>
      <c r="E43" s="42"/>
      <c r="F43" s="41">
        <f>B43-D43</f>
        <v>58955546</v>
      </c>
      <c r="G43" s="41"/>
      <c r="H43" s="41"/>
      <c r="I43" s="41"/>
      <c r="J43" s="41"/>
      <c r="K43" s="43"/>
      <c r="L43" s="44"/>
      <c r="M43" s="44"/>
      <c r="N43" s="44">
        <v>58955546</v>
      </c>
      <c r="O43" s="44"/>
      <c r="P43" s="44">
        <v>58955546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>
        <f>B43-N43</f>
        <v>0</v>
      </c>
      <c r="AJ43" s="44">
        <f>F43-N43</f>
        <v>0</v>
      </c>
      <c r="AK43" s="45">
        <v>1</v>
      </c>
    </row>
    <row r="44" spans="1:37" ht="14.25" thickBot="1" thickTop="1">
      <c r="A44" s="46" t="s">
        <v>76</v>
      </c>
      <c r="B44" s="47">
        <f>SUM(B42:B43)</f>
        <v>1131199918</v>
      </c>
      <c r="C44" s="47"/>
      <c r="D44" s="47"/>
      <c r="E44" s="47"/>
      <c r="F44" s="47">
        <f>SUM(F42:F43)</f>
        <v>1131199918</v>
      </c>
      <c r="G44" s="47"/>
      <c r="H44" s="47"/>
      <c r="I44" s="47"/>
      <c r="J44" s="47"/>
      <c r="K44" s="47">
        <f>SUM(K42)</f>
        <v>136562238</v>
      </c>
      <c r="L44" s="47"/>
      <c r="M44" s="47"/>
      <c r="N44" s="47">
        <f>SUM(N42:N43)</f>
        <v>110955546</v>
      </c>
      <c r="O44" s="47"/>
      <c r="P44" s="47"/>
      <c r="Q44" s="47">
        <f>Q42</f>
        <v>15000000</v>
      </c>
      <c r="R44" s="47"/>
      <c r="S44" s="47"/>
      <c r="T44" s="47">
        <f>SUM(T42)</f>
        <v>139949930</v>
      </c>
      <c r="U44" s="47"/>
      <c r="V44" s="47"/>
      <c r="W44" s="47">
        <f>SUM(W42)</f>
        <v>52000000</v>
      </c>
      <c r="X44" s="47"/>
      <c r="Y44" s="47"/>
      <c r="Z44" s="47"/>
      <c r="AA44" s="47"/>
      <c r="AB44" s="47"/>
      <c r="AC44" s="47">
        <f>AC42</f>
        <v>156000000</v>
      </c>
      <c r="AD44" s="47"/>
      <c r="AE44" s="47"/>
      <c r="AF44" s="47"/>
      <c r="AG44" s="47"/>
      <c r="AH44" s="47"/>
      <c r="AI44" s="47">
        <f>SUM(AI42)</f>
        <v>609512168</v>
      </c>
      <c r="AJ44" s="48">
        <f>SUM(AJ42:AJ43)</f>
        <v>462732204</v>
      </c>
      <c r="AK44" s="49"/>
    </row>
    <row r="45" spans="1:37" ht="14.25" thickBot="1" thickTop="1">
      <c r="A45" s="50" t="s">
        <v>77</v>
      </c>
      <c r="B45" s="47">
        <f>SUM(B44+B40+B21)</f>
        <v>1353605549910</v>
      </c>
      <c r="C45" s="47"/>
      <c r="D45" s="47">
        <f>SUM(D21)</f>
        <v>1687913166</v>
      </c>
      <c r="E45" s="47"/>
      <c r="F45" s="47">
        <f>SUM(F44+F40+F21)</f>
        <v>1378571184350</v>
      </c>
      <c r="G45" s="47">
        <f>SUM(G40+G21)</f>
        <v>27548799688.640007</v>
      </c>
      <c r="H45" s="47">
        <f>SUM(H40+H21)</f>
        <v>90080186208</v>
      </c>
      <c r="I45" s="47">
        <f>SUM(I40+I21)</f>
        <v>1801603724.1599998</v>
      </c>
      <c r="J45" s="47">
        <f>SUM(J40+J21)</f>
        <v>88278582483.84</v>
      </c>
      <c r="K45" s="47">
        <f>SUM(K44+K40+K21)</f>
        <v>168174766302</v>
      </c>
      <c r="L45" s="47">
        <f>SUM(L40+L21)</f>
        <v>3360764081.2800007</v>
      </c>
      <c r="M45" s="47">
        <f>SUM(M40+M21)</f>
        <v>164677439982.71997</v>
      </c>
      <c r="N45" s="47">
        <f>SUM(N44+N40+N21)</f>
        <v>102202281760</v>
      </c>
      <c r="O45" s="47">
        <f>SUM(O40+O21)</f>
        <v>2041826524.2799995</v>
      </c>
      <c r="P45" s="47">
        <f>SUM(P40+P21)</f>
        <v>100049499689.71999</v>
      </c>
      <c r="Q45" s="47">
        <f>SUM(Q44+Q40+Q21)</f>
        <v>73806880874</v>
      </c>
      <c r="R45" s="47">
        <f>SUM(R40+R21)</f>
        <v>1475837617.48</v>
      </c>
      <c r="S45" s="47">
        <f>SUM(S40+S21)</f>
        <v>72316043256.51999</v>
      </c>
      <c r="T45" s="47">
        <f>SUM(T44+T40+T21)</f>
        <v>90303153238</v>
      </c>
      <c r="U45" s="47">
        <f>SUM(U40+U21)</f>
        <v>1803264066.1599998</v>
      </c>
      <c r="V45" s="47">
        <f>SUM(V40+V21)</f>
        <v>88359939241.84</v>
      </c>
      <c r="W45" s="47">
        <f>SUM(W44+W40+W21)</f>
        <v>151918301443</v>
      </c>
      <c r="X45" s="47">
        <f>SUM(X40+X21)</f>
        <v>3037326028.8599997</v>
      </c>
      <c r="Y45" s="47">
        <f>SUM(Y40+Y21)</f>
        <v>148828975414.13998</v>
      </c>
      <c r="Z45" s="47">
        <f>SUM(Z40+Z21)</f>
        <v>105178651441</v>
      </c>
      <c r="AA45" s="47">
        <f>SUM(AA40+AA21)</f>
        <v>2103573028.8200002</v>
      </c>
      <c r="AB45" s="47">
        <f>SUM(AB40+AB21)</f>
        <v>103075078412.18001</v>
      </c>
      <c r="AC45" s="47">
        <f>SUM(AC44+AC40+AC21)</f>
        <v>96947169666</v>
      </c>
      <c r="AD45" s="47">
        <f>SUM(AD40+AD21)</f>
        <v>1935823393.32</v>
      </c>
      <c r="AE45" s="47">
        <f>SUM(AE40+AE21)</f>
        <v>94855346272.68</v>
      </c>
      <c r="AF45" s="47">
        <f>SUM(AF40+AF21)</f>
        <v>90058225242</v>
      </c>
      <c r="AG45" s="47">
        <f>SUM(AG40+AG21)</f>
        <v>1801164504.84</v>
      </c>
      <c r="AH45" s="47">
        <f>SUM(AH40+AH21)</f>
        <v>88257060737.16</v>
      </c>
      <c r="AI45" s="47">
        <f>SUM(AI44+AI40+AI21)</f>
        <v>968668660628</v>
      </c>
      <c r="AJ45" s="48">
        <f>SUM(AJ44+AJ40+AJ21)</f>
        <v>409843568176</v>
      </c>
      <c r="AK45" s="51"/>
    </row>
    <row r="46" spans="1:37" ht="13.5" thickTop="1">
      <c r="A46" s="5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53"/>
    </row>
  </sheetData>
  <mergeCells count="1">
    <mergeCell ref="A1:AJ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JFontecha</dc:creator>
  <cp:keywords/>
  <dc:description/>
  <cp:lastModifiedBy>JFontecha</cp:lastModifiedBy>
  <dcterms:created xsi:type="dcterms:W3CDTF">2005-10-03T21:27:38Z</dcterms:created>
  <dcterms:modified xsi:type="dcterms:W3CDTF">2005-10-03T21:33:13Z</dcterms:modified>
  <cp:category/>
  <cp:version/>
  <cp:contentType/>
  <cp:contentStatus/>
</cp:coreProperties>
</file>