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defaultThemeVersion="166925"/>
  <mc:AlternateContent xmlns:mc="http://schemas.openxmlformats.org/markup-compatibility/2006">
    <mc:Choice Requires="x15">
      <x15ac:absPath xmlns:x15ac="http://schemas.microsoft.com/office/spreadsheetml/2010/11/ac" url="C:\Users\scasas\Desktop\MEN\PND\"/>
    </mc:Choice>
  </mc:AlternateContent>
  <xr:revisionPtr revIDLastSave="0" documentId="13_ncr:1_{95201B71-B82A-4ABA-92BA-2F9AC4793324}" xr6:coauthVersionLast="40" xr6:coauthVersionMax="40" xr10:uidLastSave="{00000000-0000-0000-0000-000000000000}"/>
  <bookViews>
    <workbookView xWindow="-120" yWindow="-120" windowWidth="29040" windowHeight="15840" tabRatio="514" firstSheet="1" activeTab="4" xr2:uid="{00000000-000D-0000-FFFF-FFFF00000000}"/>
  </bookViews>
  <sheets>
    <sheet name="ANALISIS 2017 (2)" sheetId="23" state="hidden" r:id="rId1"/>
    <sheet name="Base Indicadores 1" sheetId="10" r:id="rId2"/>
    <sheet name="Hoja2" sheetId="25" state="hidden" r:id="rId3"/>
    <sheet name="Base Indicadores" sheetId="1" state="hidden" r:id="rId4"/>
    <sheet name="Tablero Seguimiento" sheetId="17" r:id="rId5"/>
    <sheet name="Hoja1" sheetId="19" state="hidden" r:id="rId6"/>
    <sheet name="RESUMEN" sheetId="7" state="hidden" r:id="rId7"/>
    <sheet name="Hoja3" sheetId="3" state="hidden" r:id="rId8"/>
    <sheet name="Hoja4" sheetId="4" state="hidden" r:id="rId9"/>
    <sheet name="Total corte diciembre" sheetId="14" state="hidden" r:id="rId10"/>
  </sheets>
  <definedNames>
    <definedName name="_xlnm._FilterDatabase" localSheetId="0" hidden="1">'ANALISIS 2017 (2)'!$A$4:$W$24</definedName>
    <definedName name="_xlnm._FilterDatabase" localSheetId="3" hidden="1">'Base Indicadores'!$A$4:$AL$82</definedName>
    <definedName name="_xlnm._FilterDatabase" localSheetId="1" hidden="1">'Base Indicadores 1'!$A$7:$AR$85</definedName>
    <definedName name="_xlnm._FilterDatabase" localSheetId="4" hidden="1">'Tablero Seguimiento'!$A$18:$O$72</definedName>
    <definedName name="_xlnm._FilterDatabase" localSheetId="9" hidden="1">'Total corte diciembre'!$B$9:$O$92</definedName>
    <definedName name="_xlnm.Print_Area" localSheetId="4">'Tablero Seguimiento'!$B$1:$O$109</definedName>
    <definedName name="_xlnm.Print_Titles" localSheetId="4">'Tablero Seguimiento'!$18:$18</definedName>
    <definedName name="_xlnm.Print_Titles" localSheetId="9">'Total corte diciembre'!$9:$9</definedName>
  </definedNames>
  <calcPr calcId="191029"/>
  <pivotCaches>
    <pivotCache cacheId="0" r:id="rId11"/>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32" i="17" l="1"/>
  <c r="T47" i="10" l="1"/>
  <c r="AG65" i="10" l="1"/>
  <c r="AH71" i="10"/>
  <c r="T33" i="10" l="1"/>
  <c r="Z33" i="10" s="1"/>
  <c r="AG33" i="10" s="1"/>
  <c r="Y59" i="10"/>
  <c r="Z53" i="10"/>
  <c r="AG53" i="10" s="1"/>
  <c r="AG52" i="10" l="1"/>
  <c r="K60" i="17" l="1"/>
  <c r="AG54" i="10"/>
  <c r="AI54" i="10" s="1"/>
  <c r="AJ54" i="10" s="1"/>
  <c r="L78" i="17" s="1"/>
  <c r="AF66" i="10"/>
  <c r="AG66" i="10" s="1"/>
  <c r="AE66" i="10"/>
  <c r="Z68" i="10"/>
  <c r="AF68" i="10" s="1"/>
  <c r="AE68" i="10"/>
  <c r="AJ72" i="10"/>
  <c r="L81" i="17" s="1"/>
  <c r="T71" i="10"/>
  <c r="Z71" i="10" s="1"/>
  <c r="AG71" i="10" s="1"/>
  <c r="R71" i="10"/>
  <c r="X71" i="10" s="1"/>
  <c r="Y67" i="10"/>
  <c r="AF67" i="10" s="1"/>
  <c r="AE67" i="10"/>
  <c r="AF56" i="10"/>
  <c r="AG56" i="10" s="1"/>
  <c r="AE56" i="10"/>
  <c r="AF51" i="10"/>
  <c r="AG51" i="10" s="1"/>
  <c r="AE51" i="10"/>
  <c r="AF62" i="10"/>
  <c r="AG62" i="10" s="1"/>
  <c r="AE62" i="10"/>
  <c r="Z69" i="10"/>
  <c r="AF69" i="10" s="1"/>
  <c r="AE69" i="10"/>
  <c r="AF57" i="10"/>
  <c r="AG57" i="10" s="1"/>
  <c r="AE57" i="10"/>
  <c r="AF58" i="10"/>
  <c r="AG58" i="10" s="1"/>
  <c r="AE58" i="10"/>
  <c r="AF61" i="10"/>
  <c r="AE61" i="10"/>
  <c r="AF60" i="10"/>
  <c r="AG60" i="10" s="1"/>
  <c r="AE60" i="10"/>
  <c r="AF59" i="10"/>
  <c r="AH59" i="10" s="1"/>
  <c r="AE59" i="10"/>
  <c r="Z73" i="10"/>
  <c r="AG73" i="10" s="1"/>
  <c r="AE73" i="10"/>
  <c r="T63" i="10"/>
  <c r="Y63" i="10" s="1"/>
  <c r="AF63" i="10" s="1"/>
  <c r="AE63" i="10"/>
  <c r="AF55" i="10"/>
  <c r="AG55" i="10" s="1"/>
  <c r="AE55" i="10"/>
  <c r="AF70" i="10"/>
  <c r="AG70" i="10" s="1"/>
  <c r="AE70" i="10"/>
  <c r="T82" i="10"/>
  <c r="Z82" i="10" s="1"/>
  <c r="R82" i="10"/>
  <c r="X82" i="10" s="1"/>
  <c r="AE82" i="10" s="1"/>
  <c r="K98" i="17"/>
  <c r="AE65" i="10"/>
  <c r="T64" i="10"/>
  <c r="Z64" i="10" s="1"/>
  <c r="R64" i="10"/>
  <c r="X64" i="10" s="1"/>
  <c r="AE64" i="10" s="1"/>
  <c r="AE53" i="10"/>
  <c r="K106" i="17"/>
  <c r="AE52" i="10"/>
  <c r="M33" i="17"/>
  <c r="Y42" i="10"/>
  <c r="Z42" i="10" s="1"/>
  <c r="AA23" i="10"/>
  <c r="AA22" i="10"/>
  <c r="AH47" i="10"/>
  <c r="AA47" i="10"/>
  <c r="U47" i="10"/>
  <c r="P47" i="10"/>
  <c r="AB25" i="10"/>
  <c r="AA25" i="10"/>
  <c r="V25" i="10"/>
  <c r="U25" i="10"/>
  <c r="P25" i="10"/>
  <c r="U63" i="10"/>
  <c r="P63" i="10"/>
  <c r="P15" i="10"/>
  <c r="AA14" i="10"/>
  <c r="U14" i="10"/>
  <c r="P18" i="10"/>
  <c r="Z83" i="10"/>
  <c r="AF83" i="10" s="1"/>
  <c r="AG75" i="10"/>
  <c r="K72" i="17" s="1"/>
  <c r="AG74" i="10"/>
  <c r="K71" i="17" s="1"/>
  <c r="AG50" i="10"/>
  <c r="K33" i="17" s="1"/>
  <c r="AG38" i="10"/>
  <c r="K32" i="17" s="1"/>
  <c r="W79" i="25"/>
  <c r="Q79" i="25"/>
  <c r="R79" i="25"/>
  <c r="T79" i="25"/>
  <c r="N79" i="25"/>
  <c r="M79" i="25"/>
  <c r="H79" i="25"/>
  <c r="X78" i="25"/>
  <c r="Y78" i="25"/>
  <c r="W78" i="25"/>
  <c r="AA78" i="25"/>
  <c r="AB78" i="25"/>
  <c r="T78" i="25"/>
  <c r="S78" i="25"/>
  <c r="N78" i="25"/>
  <c r="M78" i="25"/>
  <c r="H78" i="25"/>
  <c r="X77" i="25"/>
  <c r="Z77" i="25"/>
  <c r="W77" i="25"/>
  <c r="T77" i="25"/>
  <c r="S77" i="25"/>
  <c r="N77" i="25"/>
  <c r="M77" i="25"/>
  <c r="H77" i="25"/>
  <c r="Z76" i="25"/>
  <c r="S76" i="25"/>
  <c r="M76" i="25"/>
  <c r="L76" i="25"/>
  <c r="R76" i="25"/>
  <c r="J76" i="25"/>
  <c r="P76" i="25"/>
  <c r="W76" i="25"/>
  <c r="H76" i="25"/>
  <c r="W75" i="25"/>
  <c r="Q75" i="25"/>
  <c r="R75" i="25"/>
  <c r="T75" i="25"/>
  <c r="N75" i="25"/>
  <c r="M75" i="25"/>
  <c r="H75" i="25"/>
  <c r="Z74" i="25"/>
  <c r="S74" i="25"/>
  <c r="P74" i="25"/>
  <c r="W74" i="25"/>
  <c r="M74" i="25"/>
  <c r="L74" i="25"/>
  <c r="R74" i="25"/>
  <c r="Y74" i="25"/>
  <c r="X73" i="25"/>
  <c r="Z73" i="25"/>
  <c r="W73" i="25"/>
  <c r="S73" i="25"/>
  <c r="R73" i="25"/>
  <c r="T73" i="25"/>
  <c r="N73" i="25"/>
  <c r="M73" i="25"/>
  <c r="H73" i="25"/>
  <c r="X72" i="25"/>
  <c r="Y72" i="25"/>
  <c r="W72" i="25"/>
  <c r="T72" i="25"/>
  <c r="S72" i="25"/>
  <c r="N72" i="25"/>
  <c r="I72" i="25"/>
  <c r="M72" i="25"/>
  <c r="H72" i="25"/>
  <c r="Z71" i="25"/>
  <c r="Y71" i="25"/>
  <c r="W71" i="25"/>
  <c r="T71" i="25"/>
  <c r="S71" i="25"/>
  <c r="N71" i="25"/>
  <c r="M71" i="25"/>
  <c r="H71" i="25"/>
  <c r="Z70" i="25"/>
  <c r="W70" i="25"/>
  <c r="S70" i="25"/>
  <c r="R70" i="25"/>
  <c r="Y70" i="25"/>
  <c r="K70" i="25"/>
  <c r="M70" i="25"/>
  <c r="J70" i="25"/>
  <c r="P70" i="25"/>
  <c r="H70" i="25"/>
  <c r="X69" i="25"/>
  <c r="Z69" i="25"/>
  <c r="W69" i="25"/>
  <c r="T69" i="25"/>
  <c r="S69" i="25"/>
  <c r="N69" i="25"/>
  <c r="M69" i="25"/>
  <c r="H69" i="25"/>
  <c r="X68" i="25"/>
  <c r="Z68" i="25"/>
  <c r="W68" i="25"/>
  <c r="T68" i="25"/>
  <c r="S68" i="25"/>
  <c r="N68" i="25"/>
  <c r="K68" i="25"/>
  <c r="I68" i="25"/>
  <c r="H68" i="25"/>
  <c r="Z67" i="25"/>
  <c r="W67" i="25"/>
  <c r="S67" i="25"/>
  <c r="R67" i="25"/>
  <c r="T67" i="25"/>
  <c r="K67" i="25"/>
  <c r="N67" i="25"/>
  <c r="J67" i="25"/>
  <c r="H67" i="25"/>
  <c r="AB66" i="25"/>
  <c r="X66" i="25"/>
  <c r="Y66" i="25"/>
  <c r="W66" i="25"/>
  <c r="Z65" i="25"/>
  <c r="S65" i="25"/>
  <c r="M65" i="25"/>
  <c r="L65" i="25"/>
  <c r="R65" i="25"/>
  <c r="J65" i="25"/>
  <c r="P65" i="25"/>
  <c r="W65" i="25"/>
  <c r="H65" i="25"/>
  <c r="X64" i="25"/>
  <c r="Z64" i="25"/>
  <c r="W64" i="25"/>
  <c r="S64" i="25"/>
  <c r="R64" i="25"/>
  <c r="T64" i="25"/>
  <c r="N64" i="25"/>
  <c r="M64" i="25"/>
  <c r="H64" i="25"/>
  <c r="W63" i="25"/>
  <c r="S63" i="25"/>
  <c r="R63" i="25"/>
  <c r="X63" i="25"/>
  <c r="N63" i="25"/>
  <c r="M63" i="25"/>
  <c r="H63" i="25"/>
  <c r="W62" i="25"/>
  <c r="S62" i="25"/>
  <c r="R62" i="25"/>
  <c r="T62" i="25"/>
  <c r="N62" i="25"/>
  <c r="M62" i="25"/>
  <c r="H62" i="25"/>
  <c r="W61" i="25"/>
  <c r="Q61" i="25"/>
  <c r="R61" i="25"/>
  <c r="T61" i="25"/>
  <c r="N61" i="25"/>
  <c r="M61" i="25"/>
  <c r="H61" i="25"/>
  <c r="X60" i="25"/>
  <c r="Z60" i="25"/>
  <c r="W60" i="25"/>
  <c r="S60" i="25"/>
  <c r="R60" i="25"/>
  <c r="T60" i="25"/>
  <c r="P60" i="25"/>
  <c r="N60" i="25"/>
  <c r="M60" i="25"/>
  <c r="H60" i="25"/>
  <c r="Z59" i="25"/>
  <c r="Y59" i="25"/>
  <c r="W59" i="25"/>
  <c r="T59" i="25"/>
  <c r="S59" i="25"/>
  <c r="N59" i="25"/>
  <c r="M59" i="25"/>
  <c r="H59" i="25"/>
  <c r="Z58" i="25"/>
  <c r="S58" i="25"/>
  <c r="M58" i="25"/>
  <c r="L58" i="25"/>
  <c r="N58" i="25"/>
  <c r="J58" i="25"/>
  <c r="P58" i="25"/>
  <c r="W58" i="25"/>
  <c r="H58" i="25"/>
  <c r="W57" i="25"/>
  <c r="Q57" i="25"/>
  <c r="X57" i="25"/>
  <c r="N57" i="25"/>
  <c r="M57" i="25"/>
  <c r="H57" i="25"/>
  <c r="X56" i="25"/>
  <c r="Z56" i="25"/>
  <c r="W56" i="25"/>
  <c r="T56" i="25"/>
  <c r="S56" i="25"/>
  <c r="N56" i="25"/>
  <c r="M56" i="25"/>
  <c r="H56" i="25"/>
  <c r="X55" i="25"/>
  <c r="Y55" i="25"/>
  <c r="W55" i="25"/>
  <c r="T55" i="25"/>
  <c r="S55" i="25"/>
  <c r="N55" i="25"/>
  <c r="M55" i="25"/>
  <c r="H55" i="25"/>
  <c r="X54" i="25"/>
  <c r="Z54" i="25"/>
  <c r="W54" i="25"/>
  <c r="T54" i="25"/>
  <c r="S54" i="25"/>
  <c r="N54" i="25"/>
  <c r="M54" i="25"/>
  <c r="H54" i="25"/>
  <c r="W53" i="25"/>
  <c r="Q53" i="25"/>
  <c r="X53" i="25"/>
  <c r="Y53" i="25"/>
  <c r="N53" i="25"/>
  <c r="M53" i="25"/>
  <c r="H53" i="25"/>
  <c r="X52" i="25"/>
  <c r="Y52" i="25"/>
  <c r="W52" i="25"/>
  <c r="R52" i="25"/>
  <c r="T52" i="25"/>
  <c r="P52" i="25"/>
  <c r="O52" i="25"/>
  <c r="S52" i="25"/>
  <c r="M52" i="25"/>
  <c r="L52" i="25"/>
  <c r="N52" i="25"/>
  <c r="J52" i="25"/>
  <c r="G52" i="25"/>
  <c r="F52" i="25"/>
  <c r="D52" i="25"/>
  <c r="X51" i="25"/>
  <c r="Y51" i="25"/>
  <c r="W51" i="25"/>
  <c r="T51" i="25"/>
  <c r="S51" i="25"/>
  <c r="N51" i="25"/>
  <c r="M51" i="25"/>
  <c r="H51" i="25"/>
  <c r="X50" i="25"/>
  <c r="Z50" i="25"/>
  <c r="W50" i="25"/>
  <c r="S50" i="25"/>
  <c r="R50" i="25"/>
  <c r="T50" i="25"/>
  <c r="M50" i="25"/>
  <c r="L50" i="25"/>
  <c r="N50" i="25"/>
  <c r="H50" i="25"/>
  <c r="X49" i="25"/>
  <c r="Y49" i="25"/>
  <c r="W49" i="25"/>
  <c r="S49" i="25"/>
  <c r="R49" i="25"/>
  <c r="T49" i="25"/>
  <c r="M49" i="25"/>
  <c r="L49" i="25"/>
  <c r="N49" i="25"/>
  <c r="H49" i="25"/>
  <c r="Z48" i="25"/>
  <c r="Y48" i="25"/>
  <c r="AA48" i="25"/>
  <c r="AB48" i="25"/>
  <c r="W48" i="25"/>
  <c r="T48" i="25"/>
  <c r="S48" i="25"/>
  <c r="N48" i="25"/>
  <c r="M48" i="25"/>
  <c r="H48" i="25"/>
  <c r="Z47" i="25"/>
  <c r="Y47" i="25"/>
  <c r="W47" i="25"/>
  <c r="T47" i="25"/>
  <c r="S47" i="25"/>
  <c r="N47" i="25"/>
  <c r="M47" i="25"/>
  <c r="H47" i="25"/>
  <c r="Z46" i="25"/>
  <c r="Y46" i="25"/>
  <c r="W46" i="25"/>
  <c r="T46" i="25"/>
  <c r="S46" i="25"/>
  <c r="N46" i="25"/>
  <c r="M46" i="25"/>
  <c r="H46" i="25"/>
  <c r="X45" i="25"/>
  <c r="Z45" i="25"/>
  <c r="W45" i="25"/>
  <c r="T45" i="25"/>
  <c r="S45" i="25"/>
  <c r="N45" i="25"/>
  <c r="M45" i="25"/>
  <c r="H45" i="25"/>
  <c r="Z44" i="25"/>
  <c r="W44" i="25"/>
  <c r="AA44" i="25"/>
  <c r="AB44" i="25"/>
  <c r="T44" i="25"/>
  <c r="S44" i="25"/>
  <c r="N44" i="25"/>
  <c r="M44" i="25"/>
  <c r="H44" i="25"/>
  <c r="X43" i="25"/>
  <c r="Z43" i="25"/>
  <c r="W43" i="25"/>
  <c r="AA43" i="25"/>
  <c r="AB43" i="25"/>
  <c r="T43" i="25"/>
  <c r="S43" i="25"/>
  <c r="N43" i="25"/>
  <c r="M43" i="25"/>
  <c r="H43" i="25"/>
  <c r="X42" i="25"/>
  <c r="Z42" i="25"/>
  <c r="W42" i="25"/>
  <c r="T42" i="25"/>
  <c r="S42" i="25"/>
  <c r="N42" i="25"/>
  <c r="M42" i="25"/>
  <c r="H42" i="25"/>
  <c r="Z41" i="25"/>
  <c r="Y41" i="25"/>
  <c r="AA41" i="25"/>
  <c r="AB41" i="25"/>
  <c r="W41" i="25"/>
  <c r="T41" i="25"/>
  <c r="S41" i="25"/>
  <c r="N41" i="25"/>
  <c r="M41" i="25"/>
  <c r="H41" i="25"/>
  <c r="W40" i="25"/>
  <c r="Q40" i="25"/>
  <c r="S40" i="25"/>
  <c r="N40" i="25"/>
  <c r="M40" i="25"/>
  <c r="H40" i="25"/>
  <c r="Z39" i="25"/>
  <c r="S39" i="25"/>
  <c r="M39" i="25"/>
  <c r="L39" i="25"/>
  <c r="N39" i="25"/>
  <c r="J39" i="25"/>
  <c r="P39" i="25"/>
  <c r="W39" i="25"/>
  <c r="H39" i="25"/>
  <c r="X38" i="25"/>
  <c r="W38" i="25"/>
  <c r="T38" i="25"/>
  <c r="S38" i="25"/>
  <c r="N38" i="25"/>
  <c r="M38" i="25"/>
  <c r="H38" i="25"/>
  <c r="Z37" i="25"/>
  <c r="Y37" i="25"/>
  <c r="AA37" i="25"/>
  <c r="AB37" i="25"/>
  <c r="T37" i="25"/>
  <c r="S37" i="25"/>
  <c r="N37" i="25"/>
  <c r="M37" i="25"/>
  <c r="H37" i="25"/>
  <c r="X36" i="25"/>
  <c r="Z36" i="25"/>
  <c r="W36" i="25"/>
  <c r="T36" i="25"/>
  <c r="S36" i="25"/>
  <c r="N36" i="25"/>
  <c r="M36" i="25"/>
  <c r="H36" i="25"/>
  <c r="X35" i="25"/>
  <c r="Y35" i="25"/>
  <c r="W35" i="25"/>
  <c r="T35" i="25"/>
  <c r="S35" i="25"/>
  <c r="N35" i="25"/>
  <c r="M35" i="25"/>
  <c r="H35" i="25"/>
  <c r="Z34" i="25"/>
  <c r="W34" i="25"/>
  <c r="AA34" i="25"/>
  <c r="AB34" i="25"/>
  <c r="T34" i="25"/>
  <c r="S34" i="25"/>
  <c r="N34" i="25"/>
  <c r="M34" i="25"/>
  <c r="H34" i="25"/>
  <c r="Z33" i="25"/>
  <c r="W33" i="25"/>
  <c r="AA33" i="25"/>
  <c r="AB33" i="25"/>
  <c r="T33" i="25"/>
  <c r="S33" i="25"/>
  <c r="N33" i="25"/>
  <c r="M33" i="25"/>
  <c r="H33" i="25"/>
  <c r="Z32" i="25"/>
  <c r="W32" i="25"/>
  <c r="AA32" i="25"/>
  <c r="AB32" i="25"/>
  <c r="T32" i="25"/>
  <c r="S32" i="25"/>
  <c r="N32" i="25"/>
  <c r="M32" i="25"/>
  <c r="H32" i="25"/>
  <c r="Z31" i="25"/>
  <c r="W31" i="25"/>
  <c r="AA31" i="25"/>
  <c r="AB31" i="25"/>
  <c r="T31" i="25"/>
  <c r="S31" i="25"/>
  <c r="N31" i="25"/>
  <c r="M31" i="25"/>
  <c r="H31" i="25"/>
  <c r="X30" i="25"/>
  <c r="Z30" i="25"/>
  <c r="W30" i="25"/>
  <c r="S30" i="25"/>
  <c r="R30" i="25"/>
  <c r="T30" i="25"/>
  <c r="N30" i="25"/>
  <c r="M30" i="25"/>
  <c r="H30" i="25"/>
  <c r="Z29" i="25"/>
  <c r="W29" i="25"/>
  <c r="AA29" i="25"/>
  <c r="AB29" i="25"/>
  <c r="T29" i="25"/>
  <c r="S29" i="25"/>
  <c r="N29" i="25"/>
  <c r="M29" i="25"/>
  <c r="H29" i="25"/>
  <c r="X28" i="25"/>
  <c r="Z28" i="25"/>
  <c r="T28" i="25"/>
  <c r="S28" i="25"/>
  <c r="N28" i="25"/>
  <c r="M28" i="25"/>
  <c r="H28" i="25"/>
  <c r="W27" i="25"/>
  <c r="V27" i="25"/>
  <c r="Z27" i="25"/>
  <c r="T27" i="25"/>
  <c r="O27" i="25"/>
  <c r="S27" i="25"/>
  <c r="N27" i="25"/>
  <c r="M27" i="25"/>
  <c r="J27" i="25"/>
  <c r="H27" i="25"/>
  <c r="X26" i="25"/>
  <c r="Y26" i="25"/>
  <c r="W26" i="25"/>
  <c r="S26" i="25"/>
  <c r="R26" i="25"/>
  <c r="T26" i="25"/>
  <c r="N26" i="25"/>
  <c r="M26" i="25"/>
  <c r="H26" i="25"/>
  <c r="X25" i="25"/>
  <c r="Z25" i="25"/>
  <c r="W25" i="25"/>
  <c r="T25" i="25"/>
  <c r="S25" i="25"/>
  <c r="N25" i="25"/>
  <c r="M25" i="25"/>
  <c r="H25" i="25"/>
  <c r="Z24" i="25"/>
  <c r="Y24" i="25"/>
  <c r="W24" i="25"/>
  <c r="T24" i="25"/>
  <c r="S24" i="25"/>
  <c r="N24" i="25"/>
  <c r="M24" i="25"/>
  <c r="G24" i="25"/>
  <c r="F24" i="25"/>
  <c r="X23" i="25"/>
  <c r="Z23" i="25"/>
  <c r="W23" i="25"/>
  <c r="T23" i="25"/>
  <c r="S23" i="25"/>
  <c r="N23" i="25"/>
  <c r="M23" i="25"/>
  <c r="H23" i="25"/>
  <c r="X22" i="25"/>
  <c r="Y22" i="25"/>
  <c r="W22" i="25"/>
  <c r="T22" i="25"/>
  <c r="S22" i="25"/>
  <c r="N22" i="25"/>
  <c r="M22" i="25"/>
  <c r="H22" i="25"/>
  <c r="W21" i="25"/>
  <c r="R21" i="25"/>
  <c r="T21" i="25"/>
  <c r="Q21" i="25"/>
  <c r="X21" i="25"/>
  <c r="N21" i="25"/>
  <c r="M21" i="25"/>
  <c r="H21" i="25"/>
  <c r="Z20" i="25"/>
  <c r="Y20" i="25"/>
  <c r="W20" i="25"/>
  <c r="T20" i="25"/>
  <c r="Q20" i="25"/>
  <c r="S20" i="25"/>
  <c r="N20" i="25"/>
  <c r="K20" i="25"/>
  <c r="M20" i="25"/>
  <c r="H20" i="25"/>
  <c r="X19" i="25"/>
  <c r="Z19" i="25"/>
  <c r="W19" i="25"/>
  <c r="T19" i="25"/>
  <c r="S19" i="25"/>
  <c r="N19" i="25"/>
  <c r="M19" i="25"/>
  <c r="H19" i="25"/>
  <c r="X18" i="25"/>
  <c r="Z18" i="25"/>
  <c r="W18" i="25"/>
  <c r="T18" i="25"/>
  <c r="S18" i="25"/>
  <c r="N18" i="25"/>
  <c r="M18" i="25"/>
  <c r="H18" i="25"/>
  <c r="Z17" i="25"/>
  <c r="W17" i="25"/>
  <c r="AA17" i="25"/>
  <c r="AB17" i="25"/>
  <c r="T17" i="25"/>
  <c r="S17" i="25"/>
  <c r="N17" i="25"/>
  <c r="M17" i="25"/>
  <c r="H17" i="25"/>
  <c r="X16" i="25"/>
  <c r="Z16" i="25"/>
  <c r="W16" i="25"/>
  <c r="T16" i="25"/>
  <c r="S16" i="25"/>
  <c r="N16" i="25"/>
  <c r="M16" i="25"/>
  <c r="H16" i="25"/>
  <c r="X15" i="25"/>
  <c r="Z15" i="25"/>
  <c r="W15" i="25"/>
  <c r="T15" i="25"/>
  <c r="S15" i="25"/>
  <c r="N15" i="25"/>
  <c r="M15" i="25"/>
  <c r="H15" i="25"/>
  <c r="Z14" i="25"/>
  <c r="Y14" i="25"/>
  <c r="W14" i="25"/>
  <c r="AA14" i="25"/>
  <c r="AB14" i="25"/>
  <c r="T14" i="25"/>
  <c r="S14" i="25"/>
  <c r="N14" i="25"/>
  <c r="M14" i="25"/>
  <c r="H14" i="25"/>
  <c r="X13" i="25"/>
  <c r="Z13" i="25"/>
  <c r="W13" i="25"/>
  <c r="T13" i="25"/>
  <c r="S13" i="25"/>
  <c r="N13" i="25"/>
  <c r="M13" i="25"/>
  <c r="H13" i="25"/>
  <c r="AA12" i="25"/>
  <c r="AB12" i="25"/>
  <c r="V12" i="25"/>
  <c r="Z12" i="25"/>
  <c r="T12" i="25"/>
  <c r="S12" i="25"/>
  <c r="N12" i="25"/>
  <c r="M12" i="25"/>
  <c r="H12" i="25"/>
  <c r="Z11" i="25"/>
  <c r="S11" i="25"/>
  <c r="K11" i="25"/>
  <c r="L11" i="25"/>
  <c r="F11" i="25"/>
  <c r="J11" i="25"/>
  <c r="P11" i="25"/>
  <c r="W11" i="25"/>
  <c r="Z10" i="25"/>
  <c r="W10" i="25"/>
  <c r="AA10" i="25"/>
  <c r="AB10" i="25"/>
  <c r="T10" i="25"/>
  <c r="S10" i="25"/>
  <c r="N10" i="25"/>
  <c r="M10" i="25"/>
  <c r="H10" i="25"/>
  <c r="X9" i="25"/>
  <c r="Z9" i="25"/>
  <c r="W9" i="25"/>
  <c r="S9" i="25"/>
  <c r="R9" i="25"/>
  <c r="T9" i="25"/>
  <c r="N9" i="25"/>
  <c r="M9" i="25"/>
  <c r="H9" i="25"/>
  <c r="X8" i="25"/>
  <c r="Y8" i="25"/>
  <c r="W8" i="25"/>
  <c r="S8" i="25"/>
  <c r="R8" i="25"/>
  <c r="T8" i="25"/>
  <c r="N8" i="25"/>
  <c r="M8" i="25"/>
  <c r="H8" i="25"/>
  <c r="Z7" i="25"/>
  <c r="O7" i="25"/>
  <c r="S7" i="25"/>
  <c r="M7" i="25"/>
  <c r="L7" i="25"/>
  <c r="N7" i="25"/>
  <c r="J7" i="25"/>
  <c r="H7" i="25"/>
  <c r="X6" i="25"/>
  <c r="Y6" i="25"/>
  <c r="W6" i="25"/>
  <c r="S6" i="25"/>
  <c r="R6" i="25"/>
  <c r="T6" i="25"/>
  <c r="N6" i="25"/>
  <c r="M6" i="25"/>
  <c r="H6" i="25"/>
  <c r="Y5" i="25"/>
  <c r="X5" i="25"/>
  <c r="Z5" i="25"/>
  <c r="AB5" i="25"/>
  <c r="W5" i="25"/>
  <c r="T5" i="25"/>
  <c r="S5" i="25"/>
  <c r="N5" i="25"/>
  <c r="M5" i="25"/>
  <c r="H5" i="25"/>
  <c r="X4" i="25"/>
  <c r="Z4" i="25"/>
  <c r="AB4" i="25"/>
  <c r="W4" i="25"/>
  <c r="T4" i="25"/>
  <c r="S4" i="25"/>
  <c r="N4" i="25"/>
  <c r="M4" i="25"/>
  <c r="H4" i="25"/>
  <c r="W3" i="25"/>
  <c r="Q3" i="25"/>
  <c r="X3" i="25"/>
  <c r="N3" i="25"/>
  <c r="M3" i="25"/>
  <c r="H3" i="25"/>
  <c r="Y2" i="25"/>
  <c r="X2" i="25"/>
  <c r="Z2" i="25"/>
  <c r="AB2" i="25"/>
  <c r="W2" i="25"/>
  <c r="T2" i="25"/>
  <c r="S2" i="25"/>
  <c r="N2" i="25"/>
  <c r="M2" i="25"/>
  <c r="H2" i="25"/>
  <c r="H52" i="25"/>
  <c r="AA52" i="25"/>
  <c r="AB52" i="25"/>
  <c r="AA71" i="25"/>
  <c r="AB71" i="25"/>
  <c r="Z72" i="25"/>
  <c r="H24" i="25"/>
  <c r="R3" i="25"/>
  <c r="T3" i="25"/>
  <c r="Y56" i="25"/>
  <c r="AA56" i="25"/>
  <c r="AB56" i="25"/>
  <c r="S61" i="25"/>
  <c r="AA38" i="25"/>
  <c r="AB38" i="25"/>
  <c r="M11" i="25"/>
  <c r="AA46" i="25"/>
  <c r="AB46" i="25"/>
  <c r="AA47" i="25"/>
  <c r="AB47" i="25"/>
  <c r="Z8" i="25"/>
  <c r="S53" i="25"/>
  <c r="X62" i="25"/>
  <c r="Z62" i="25"/>
  <c r="X61" i="25"/>
  <c r="Y61" i="25"/>
  <c r="AA61" i="25"/>
  <c r="AB61" i="25"/>
  <c r="AA70" i="25"/>
  <c r="AB70" i="25"/>
  <c r="Y69" i="25"/>
  <c r="AA69" i="25"/>
  <c r="AB69" i="25"/>
  <c r="R7" i="25"/>
  <c r="Y7" i="25"/>
  <c r="Z52" i="25"/>
  <c r="Z35" i="25"/>
  <c r="AA72" i="25"/>
  <c r="AB72" i="25"/>
  <c r="AA6" i="25"/>
  <c r="AA26" i="25"/>
  <c r="AB26" i="25"/>
  <c r="Y67" i="25"/>
  <c r="AA67" i="25"/>
  <c r="AB67" i="25"/>
  <c r="Y73" i="25"/>
  <c r="AA73" i="25"/>
  <c r="AB73" i="25"/>
  <c r="AA5" i="25"/>
  <c r="AA24" i="25"/>
  <c r="AB24" i="25"/>
  <c r="P7" i="25"/>
  <c r="W7" i="25"/>
  <c r="AA53" i="25"/>
  <c r="AB53" i="25"/>
  <c r="AA74" i="25"/>
  <c r="AB74" i="25"/>
  <c r="AA22" i="25"/>
  <c r="AB22" i="25"/>
  <c r="AA27" i="25"/>
  <c r="AB27" i="25"/>
  <c r="R57" i="25"/>
  <c r="T57" i="25"/>
  <c r="Y60" i="25"/>
  <c r="AA60" i="25"/>
  <c r="AB60" i="25"/>
  <c r="AA2" i="25"/>
  <c r="Y42" i="25"/>
  <c r="AA42" i="25"/>
  <c r="AB42" i="25"/>
  <c r="N76" i="25"/>
  <c r="R39" i="25"/>
  <c r="T39" i="25"/>
  <c r="R53" i="25"/>
  <c r="T53" i="25"/>
  <c r="N74" i="25"/>
  <c r="AA8" i="25"/>
  <c r="AB8" i="25"/>
  <c r="Y36" i="25"/>
  <c r="AA36" i="25"/>
  <c r="AB36" i="25"/>
  <c r="Y38" i="25"/>
  <c r="S75" i="25"/>
  <c r="Y18" i="25"/>
  <c r="AA18" i="25"/>
  <c r="AB18" i="25"/>
  <c r="Z38" i="25"/>
  <c r="Y30" i="25"/>
  <c r="AA30" i="25"/>
  <c r="AB30" i="25"/>
  <c r="AA59" i="25"/>
  <c r="AB59" i="25"/>
  <c r="Y9" i="25"/>
  <c r="AA9" i="25"/>
  <c r="AB9" i="25"/>
  <c r="Z53" i="25"/>
  <c r="Y54" i="25"/>
  <c r="AA54" i="25"/>
  <c r="AB54" i="25"/>
  <c r="AA55" i="25"/>
  <c r="AB55" i="25"/>
  <c r="Y68" i="25"/>
  <c r="AA68" i="25"/>
  <c r="AB68" i="25"/>
  <c r="Z78" i="25"/>
  <c r="S21" i="25"/>
  <c r="Z55" i="25"/>
  <c r="N65" i="25"/>
  <c r="T70" i="25"/>
  <c r="AA20" i="25"/>
  <c r="AB20" i="25"/>
  <c r="Z22" i="25"/>
  <c r="Y23" i="25"/>
  <c r="AA23" i="25"/>
  <c r="AB23" i="25"/>
  <c r="AA35" i="25"/>
  <c r="AB35" i="25"/>
  <c r="M68" i="25"/>
  <c r="X75" i="25"/>
  <c r="Z75" i="25"/>
  <c r="Y4" i="25"/>
  <c r="AA4" i="25"/>
  <c r="Z6" i="25"/>
  <c r="AB6" i="25"/>
  <c r="Z26" i="25"/>
  <c r="AA49" i="25"/>
  <c r="AB49" i="25"/>
  <c r="AA51" i="25"/>
  <c r="AB51" i="25"/>
  <c r="S79" i="25"/>
  <c r="Z49" i="25"/>
  <c r="Z51" i="25"/>
  <c r="R58" i="25"/>
  <c r="Y58" i="25"/>
  <c r="AA58" i="25"/>
  <c r="AB58" i="25"/>
  <c r="N70" i="25"/>
  <c r="Z21" i="25"/>
  <c r="Y21" i="25"/>
  <c r="AA21" i="25"/>
  <c r="AB21" i="25"/>
  <c r="T65" i="25"/>
  <c r="Y65" i="25"/>
  <c r="AA65" i="25"/>
  <c r="AB65" i="25"/>
  <c r="Y63" i="25"/>
  <c r="AA63" i="25"/>
  <c r="AB63" i="25"/>
  <c r="Z63" i="25"/>
  <c r="Z3" i="25"/>
  <c r="AB3" i="25"/>
  <c r="Y3" i="25"/>
  <c r="AA3" i="25"/>
  <c r="R11" i="25"/>
  <c r="N11" i="25"/>
  <c r="T76" i="25"/>
  <c r="Y76" i="25"/>
  <c r="AA76" i="25"/>
  <c r="AB76" i="25"/>
  <c r="Z57" i="25"/>
  <c r="Y57" i="25"/>
  <c r="AA57" i="25"/>
  <c r="AB57" i="25"/>
  <c r="S3" i="25"/>
  <c r="W12" i="25"/>
  <c r="Y15" i="25"/>
  <c r="AA15" i="25"/>
  <c r="AB15" i="25"/>
  <c r="Y25" i="25"/>
  <c r="AA25" i="25"/>
  <c r="AB25" i="25"/>
  <c r="S57" i="25"/>
  <c r="Y19" i="25"/>
  <c r="AA19" i="25"/>
  <c r="AB19" i="25"/>
  <c r="Y28" i="25"/>
  <c r="AA28" i="25"/>
  <c r="AB28" i="25"/>
  <c r="Y64" i="25"/>
  <c r="AA64" i="25"/>
  <c r="AB64" i="25"/>
  <c r="X79" i="25"/>
  <c r="Y13" i="25"/>
  <c r="AA13" i="25"/>
  <c r="AB13" i="25"/>
  <c r="Y16" i="25"/>
  <c r="AA16" i="25"/>
  <c r="AB16" i="25"/>
  <c r="R40" i="25"/>
  <c r="Y45" i="25"/>
  <c r="AA45" i="25"/>
  <c r="AB45" i="25"/>
  <c r="Y50" i="25"/>
  <c r="AA50" i="25"/>
  <c r="AB50" i="25"/>
  <c r="T63" i="25"/>
  <c r="M67" i="25"/>
  <c r="T74" i="25"/>
  <c r="Y77" i="25"/>
  <c r="AA77" i="25"/>
  <c r="AB77" i="25"/>
  <c r="H11" i="25"/>
  <c r="T58" i="25"/>
  <c r="T7" i="25"/>
  <c r="Z61" i="25"/>
  <c r="AA7" i="25"/>
  <c r="AB7" i="25"/>
  <c r="Y62" i="25"/>
  <c r="AA62" i="25"/>
  <c r="AB62" i="25"/>
  <c r="Y39" i="25"/>
  <c r="AA39" i="25"/>
  <c r="AB39" i="25"/>
  <c r="Y75" i="25"/>
  <c r="AA75" i="25"/>
  <c r="AB75" i="25"/>
  <c r="T40" i="25"/>
  <c r="X40" i="25"/>
  <c r="Z79" i="25"/>
  <c r="Y79" i="25"/>
  <c r="AA79" i="25"/>
  <c r="AB79" i="25"/>
  <c r="Y11" i="25"/>
  <c r="AA11" i="25"/>
  <c r="AB11" i="25"/>
  <c r="T11" i="25"/>
  <c r="Z40" i="25"/>
  <c r="Y40" i="25"/>
  <c r="AA40" i="25"/>
  <c r="AB40" i="25"/>
  <c r="M106" i="17"/>
  <c r="M79" i="17"/>
  <c r="M80" i="17"/>
  <c r="M81" i="17"/>
  <c r="M82" i="17"/>
  <c r="M83" i="17"/>
  <c r="M84" i="17"/>
  <c r="M85" i="17"/>
  <c r="M86" i="17"/>
  <c r="M87" i="17"/>
  <c r="M88" i="17"/>
  <c r="M89" i="17"/>
  <c r="M90" i="17"/>
  <c r="M91" i="17"/>
  <c r="M92" i="17"/>
  <c r="M93" i="17"/>
  <c r="M94" i="17"/>
  <c r="M95" i="17"/>
  <c r="M96" i="17"/>
  <c r="M97" i="17"/>
  <c r="M98" i="17"/>
  <c r="M99" i="17"/>
  <c r="M100" i="17"/>
  <c r="M78" i="17"/>
  <c r="K78" i="17"/>
  <c r="J106" i="17"/>
  <c r="J79" i="17"/>
  <c r="J80" i="17"/>
  <c r="J81" i="17"/>
  <c r="J82" i="17"/>
  <c r="J83" i="17"/>
  <c r="J84" i="17"/>
  <c r="J85" i="17"/>
  <c r="J86" i="17"/>
  <c r="J87" i="17"/>
  <c r="J88" i="17"/>
  <c r="J90" i="17"/>
  <c r="J91" i="17"/>
  <c r="J92" i="17"/>
  <c r="J93" i="17"/>
  <c r="J94" i="17"/>
  <c r="J95" i="17"/>
  <c r="J96" i="17"/>
  <c r="J97" i="17"/>
  <c r="J98" i="17"/>
  <c r="J99" i="17"/>
  <c r="J100" i="17"/>
  <c r="J78" i="17"/>
  <c r="J72" i="17"/>
  <c r="J20" i="17"/>
  <c r="J21" i="17"/>
  <c r="J22" i="17"/>
  <c r="J23" i="17"/>
  <c r="J24" i="17"/>
  <c r="J25" i="17"/>
  <c r="J26" i="17"/>
  <c r="J27" i="17"/>
  <c r="J28" i="17"/>
  <c r="J29" i="17"/>
  <c r="J30" i="17"/>
  <c r="J31" i="17"/>
  <c r="J32" i="17"/>
  <c r="J33" i="17"/>
  <c r="J34" i="17"/>
  <c r="J35" i="17"/>
  <c r="J36" i="17"/>
  <c r="J37" i="17"/>
  <c r="J38" i="17"/>
  <c r="J39" i="17"/>
  <c r="J40" i="17"/>
  <c r="J41" i="17"/>
  <c r="J42" i="17"/>
  <c r="J43" i="17"/>
  <c r="J44" i="17"/>
  <c r="J45" i="17"/>
  <c r="J46" i="17"/>
  <c r="J47" i="17"/>
  <c r="J48" i="17"/>
  <c r="J49" i="17"/>
  <c r="J50" i="17"/>
  <c r="J51" i="17"/>
  <c r="J52" i="17"/>
  <c r="J53" i="17"/>
  <c r="J54" i="17"/>
  <c r="J55" i="17"/>
  <c r="J56" i="17"/>
  <c r="J57" i="17"/>
  <c r="J58" i="17"/>
  <c r="J59" i="17"/>
  <c r="J60" i="17"/>
  <c r="J61" i="17"/>
  <c r="J62" i="17"/>
  <c r="J63" i="17"/>
  <c r="J64" i="17"/>
  <c r="J65" i="17"/>
  <c r="J66" i="17"/>
  <c r="J67" i="17"/>
  <c r="J68" i="17"/>
  <c r="J69" i="17"/>
  <c r="J70" i="17"/>
  <c r="J71" i="17"/>
  <c r="I19" i="17"/>
  <c r="M20" i="17"/>
  <c r="M21" i="17"/>
  <c r="M22" i="17"/>
  <c r="M23" i="17"/>
  <c r="M24" i="17"/>
  <c r="M25" i="17"/>
  <c r="M26" i="17"/>
  <c r="M27" i="17"/>
  <c r="M28" i="17"/>
  <c r="M29" i="17"/>
  <c r="M30" i="17"/>
  <c r="M31" i="17"/>
  <c r="M34" i="17"/>
  <c r="M36" i="17"/>
  <c r="M37" i="17"/>
  <c r="M38" i="17"/>
  <c r="M39" i="17"/>
  <c r="M40" i="17"/>
  <c r="M41" i="17"/>
  <c r="M42" i="17"/>
  <c r="M43" i="17"/>
  <c r="M44" i="17"/>
  <c r="M45" i="17"/>
  <c r="M46" i="17"/>
  <c r="M47" i="17"/>
  <c r="M48" i="17"/>
  <c r="M49" i="17"/>
  <c r="M50" i="17"/>
  <c r="M51" i="17"/>
  <c r="M52" i="17"/>
  <c r="M53" i="17"/>
  <c r="M54" i="17"/>
  <c r="M55" i="17"/>
  <c r="M56" i="17"/>
  <c r="M57" i="17"/>
  <c r="M58" i="17"/>
  <c r="M59" i="17"/>
  <c r="M60" i="17"/>
  <c r="M61" i="17"/>
  <c r="M62" i="17"/>
  <c r="M63" i="17"/>
  <c r="M64" i="17"/>
  <c r="M65" i="17"/>
  <c r="M66" i="17"/>
  <c r="M67" i="17"/>
  <c r="M68" i="17"/>
  <c r="M69" i="17"/>
  <c r="M70" i="17"/>
  <c r="M71" i="17"/>
  <c r="M72" i="17"/>
  <c r="M19" i="17"/>
  <c r="K20" i="17"/>
  <c r="K22" i="17"/>
  <c r="K28" i="17"/>
  <c r="K30" i="17"/>
  <c r="K34" i="17"/>
  <c r="K39" i="17"/>
  <c r="K52" i="17"/>
  <c r="K62" i="17"/>
  <c r="P43" i="10"/>
  <c r="AG43" i="10"/>
  <c r="K19" i="17" s="1"/>
  <c r="AB43" i="10"/>
  <c r="AA43" i="10"/>
  <c r="T80" i="10"/>
  <c r="Z80" i="10" s="1"/>
  <c r="AF79" i="10"/>
  <c r="AG79" i="10" s="1"/>
  <c r="AG77" i="10"/>
  <c r="AG78" i="10"/>
  <c r="K37" i="17" s="1"/>
  <c r="Z76" i="10"/>
  <c r="AG76" i="10" s="1"/>
  <c r="AF10" i="10"/>
  <c r="AG10" i="10" s="1"/>
  <c r="Y9" i="10"/>
  <c r="AF9" i="10" s="1"/>
  <c r="AG11" i="10"/>
  <c r="K55" i="17" s="1"/>
  <c r="AF72" i="10"/>
  <c r="AG72" i="10" s="1"/>
  <c r="K81" i="17" s="1"/>
  <c r="K100" i="17"/>
  <c r="T13" i="10"/>
  <c r="Z13" i="10" s="1"/>
  <c r="AF12" i="10"/>
  <c r="AG12" i="10" s="1"/>
  <c r="T45" i="10"/>
  <c r="Z45" i="10" s="1"/>
  <c r="AF48" i="10"/>
  <c r="AG48" i="10" s="1"/>
  <c r="K21" i="17" s="1"/>
  <c r="AG47" i="10"/>
  <c r="K29" i="17" s="1"/>
  <c r="AG44" i="10"/>
  <c r="K26" i="17" s="1"/>
  <c r="AF15" i="10"/>
  <c r="AG15" i="10" s="1"/>
  <c r="AG41" i="10"/>
  <c r="Y81" i="10"/>
  <c r="AF81" i="10" s="1"/>
  <c r="AG8" i="10"/>
  <c r="K47" i="17" s="1"/>
  <c r="AF36" i="10"/>
  <c r="AG36" i="10" s="1"/>
  <c r="R13" i="10"/>
  <c r="AE76" i="10"/>
  <c r="AF11" i="10"/>
  <c r="AH11" i="10" s="1"/>
  <c r="AJ11" i="10" s="1"/>
  <c r="AE38" i="10"/>
  <c r="AF8" i="10"/>
  <c r="AH8" i="10" s="1"/>
  <c r="AJ8" i="10" s="1"/>
  <c r="L47" i="17" s="1"/>
  <c r="AE36" i="10"/>
  <c r="AE75" i="10"/>
  <c r="AE50" i="10"/>
  <c r="AF32" i="10"/>
  <c r="AG32" i="10" s="1"/>
  <c r="K41" i="17" s="1"/>
  <c r="AE32" i="10"/>
  <c r="AF25" i="10"/>
  <c r="AG25" i="10" s="1"/>
  <c r="AE25" i="10"/>
  <c r="AF19" i="10"/>
  <c r="AG19" i="10" s="1"/>
  <c r="AE78" i="10"/>
  <c r="AE40" i="10"/>
  <c r="AI40" i="10" s="1"/>
  <c r="AJ40" i="10" s="1"/>
  <c r="L30" i="17" s="1"/>
  <c r="X66" i="10"/>
  <c r="AB35" i="10"/>
  <c r="AA35" i="10"/>
  <c r="V35" i="10"/>
  <c r="U35" i="10"/>
  <c r="P35" i="10"/>
  <c r="S17" i="10"/>
  <c r="T17" i="10" s="1"/>
  <c r="Z17" i="10" s="1"/>
  <c r="AG17" i="10" s="1"/>
  <c r="K64" i="17" s="1"/>
  <c r="N17" i="10"/>
  <c r="R17" i="10"/>
  <c r="X17" i="10" s="1"/>
  <c r="P74" i="10"/>
  <c r="AA20" i="10"/>
  <c r="AA15" i="10"/>
  <c r="V15" i="10"/>
  <c r="U15" i="10"/>
  <c r="V14" i="10"/>
  <c r="AH77" i="10"/>
  <c r="Z58" i="10"/>
  <c r="X58" i="10"/>
  <c r="T58" i="10"/>
  <c r="R58" i="10"/>
  <c r="O58" i="10"/>
  <c r="N58" i="10"/>
  <c r="L58" i="10"/>
  <c r="J89" i="17"/>
  <c r="F106" i="17"/>
  <c r="F79" i="17"/>
  <c r="F80" i="17"/>
  <c r="F81" i="17"/>
  <c r="F82" i="17"/>
  <c r="F83" i="17"/>
  <c r="F84" i="17"/>
  <c r="F85" i="17"/>
  <c r="F86" i="17"/>
  <c r="F87" i="17"/>
  <c r="F88" i="17"/>
  <c r="F89" i="17"/>
  <c r="F90" i="17"/>
  <c r="F91" i="17"/>
  <c r="F92" i="17"/>
  <c r="F93" i="17"/>
  <c r="F94" i="17"/>
  <c r="F95" i="17"/>
  <c r="F96" i="17"/>
  <c r="F97" i="17"/>
  <c r="F98" i="17"/>
  <c r="F99" i="17"/>
  <c r="F100" i="17"/>
  <c r="F78" i="17"/>
  <c r="F20" i="17"/>
  <c r="F21" i="17"/>
  <c r="F22" i="17"/>
  <c r="F23" i="17"/>
  <c r="F24" i="17"/>
  <c r="F25" i="17"/>
  <c r="F26" i="17"/>
  <c r="F27" i="17"/>
  <c r="F28" i="17"/>
  <c r="F29" i="17"/>
  <c r="F30" i="17"/>
  <c r="F31" i="17"/>
  <c r="F32" i="17"/>
  <c r="F33" i="17"/>
  <c r="F34" i="17"/>
  <c r="F35" i="17"/>
  <c r="F36" i="17"/>
  <c r="F37" i="17"/>
  <c r="F38" i="17"/>
  <c r="F39" i="17"/>
  <c r="F40" i="17"/>
  <c r="F41" i="17"/>
  <c r="F42" i="17"/>
  <c r="F43" i="17"/>
  <c r="F44" i="17"/>
  <c r="F45" i="17"/>
  <c r="F46" i="17"/>
  <c r="F47" i="17"/>
  <c r="F48" i="17"/>
  <c r="F49" i="17"/>
  <c r="F50" i="17"/>
  <c r="F51" i="17"/>
  <c r="F52" i="17"/>
  <c r="F53" i="17"/>
  <c r="F54" i="17"/>
  <c r="F55" i="17"/>
  <c r="F56" i="17"/>
  <c r="F57" i="17"/>
  <c r="F58" i="17"/>
  <c r="F59" i="17"/>
  <c r="F60" i="17"/>
  <c r="F61" i="17"/>
  <c r="F62" i="17"/>
  <c r="F63" i="17"/>
  <c r="F64" i="17"/>
  <c r="F65" i="17"/>
  <c r="F66" i="17"/>
  <c r="F67" i="17"/>
  <c r="F68" i="17"/>
  <c r="F69" i="17"/>
  <c r="F70" i="17"/>
  <c r="F71" i="17"/>
  <c r="F72" i="17"/>
  <c r="F19" i="17"/>
  <c r="I106" i="17"/>
  <c r="I79" i="17"/>
  <c r="I80" i="17"/>
  <c r="I81" i="17"/>
  <c r="I82" i="17"/>
  <c r="I83" i="17"/>
  <c r="I84" i="17"/>
  <c r="I85" i="17"/>
  <c r="I86" i="17"/>
  <c r="I87" i="17"/>
  <c r="I88" i="17"/>
  <c r="I89" i="17"/>
  <c r="I90" i="17"/>
  <c r="I91" i="17"/>
  <c r="I92" i="17"/>
  <c r="I93" i="17"/>
  <c r="I94" i="17"/>
  <c r="I95" i="17"/>
  <c r="I96" i="17"/>
  <c r="I97" i="17"/>
  <c r="I98" i="17"/>
  <c r="I99" i="17"/>
  <c r="I100" i="17"/>
  <c r="I78" i="17"/>
  <c r="I20" i="17"/>
  <c r="I21" i="17"/>
  <c r="I22" i="17"/>
  <c r="I23" i="17"/>
  <c r="I24" i="17"/>
  <c r="I25" i="17"/>
  <c r="I26" i="17"/>
  <c r="I27" i="17"/>
  <c r="I28" i="17"/>
  <c r="I29" i="17"/>
  <c r="I30" i="17"/>
  <c r="I31" i="17"/>
  <c r="I32" i="17"/>
  <c r="I33" i="17"/>
  <c r="I34" i="17"/>
  <c r="I35" i="17"/>
  <c r="I36" i="17"/>
  <c r="I37" i="17"/>
  <c r="I38" i="17"/>
  <c r="I39" i="17"/>
  <c r="I40" i="17"/>
  <c r="I41" i="17"/>
  <c r="I42" i="17"/>
  <c r="I43" i="17"/>
  <c r="I44" i="17"/>
  <c r="I45" i="17"/>
  <c r="I46" i="17"/>
  <c r="I47" i="17"/>
  <c r="I48" i="17"/>
  <c r="I49" i="17"/>
  <c r="I50" i="17"/>
  <c r="I51" i="17"/>
  <c r="I52" i="17"/>
  <c r="I53" i="17"/>
  <c r="I54" i="17"/>
  <c r="I55" i="17"/>
  <c r="I56" i="17"/>
  <c r="I57" i="17"/>
  <c r="I58" i="17"/>
  <c r="I59" i="17"/>
  <c r="I60" i="17"/>
  <c r="I61" i="17"/>
  <c r="I62" i="17"/>
  <c r="I63" i="17"/>
  <c r="I64" i="17"/>
  <c r="I65" i="17"/>
  <c r="I66" i="17"/>
  <c r="I67" i="17"/>
  <c r="I68" i="17"/>
  <c r="I69" i="17"/>
  <c r="I70" i="17"/>
  <c r="I71" i="17"/>
  <c r="I72" i="17"/>
  <c r="H106" i="17"/>
  <c r="H79" i="17"/>
  <c r="H80" i="17"/>
  <c r="H81" i="17"/>
  <c r="H82" i="17"/>
  <c r="H83" i="17"/>
  <c r="H84" i="17"/>
  <c r="H85" i="17"/>
  <c r="H86" i="17"/>
  <c r="H87" i="17"/>
  <c r="H88" i="17"/>
  <c r="H89" i="17"/>
  <c r="H90" i="17"/>
  <c r="H91" i="17"/>
  <c r="H92" i="17"/>
  <c r="H93" i="17"/>
  <c r="H94" i="17"/>
  <c r="H95" i="17"/>
  <c r="H96" i="17"/>
  <c r="H97" i="17"/>
  <c r="H98" i="17"/>
  <c r="H99" i="17"/>
  <c r="H100" i="17"/>
  <c r="H78" i="17"/>
  <c r="H20" i="17"/>
  <c r="H21" i="17"/>
  <c r="H22" i="17"/>
  <c r="H23" i="17"/>
  <c r="H24" i="17"/>
  <c r="H25" i="17"/>
  <c r="H26" i="17"/>
  <c r="H27" i="17"/>
  <c r="H28" i="17"/>
  <c r="H29" i="17"/>
  <c r="H30" i="17"/>
  <c r="H31" i="17"/>
  <c r="H32" i="17"/>
  <c r="H33" i="17"/>
  <c r="H34" i="17"/>
  <c r="H35" i="17"/>
  <c r="H36" i="17"/>
  <c r="H37" i="17"/>
  <c r="H38" i="17"/>
  <c r="H39" i="17"/>
  <c r="H40" i="17"/>
  <c r="H41" i="17"/>
  <c r="H42" i="17"/>
  <c r="H43" i="17"/>
  <c r="H44" i="17"/>
  <c r="H45" i="17"/>
  <c r="H46" i="17"/>
  <c r="H47" i="17"/>
  <c r="H48" i="17"/>
  <c r="H49" i="17"/>
  <c r="H50" i="17"/>
  <c r="H51" i="17"/>
  <c r="H52" i="17"/>
  <c r="H53" i="17"/>
  <c r="H54" i="17"/>
  <c r="H55" i="17"/>
  <c r="H56" i="17"/>
  <c r="H57" i="17"/>
  <c r="H58" i="17"/>
  <c r="H59" i="17"/>
  <c r="H60" i="17"/>
  <c r="H61" i="17"/>
  <c r="H62" i="17"/>
  <c r="H63" i="17"/>
  <c r="H64" i="17"/>
  <c r="H65" i="17"/>
  <c r="H66" i="17"/>
  <c r="H67" i="17"/>
  <c r="H68" i="17"/>
  <c r="H69" i="17"/>
  <c r="H70" i="17"/>
  <c r="H71" i="17"/>
  <c r="H72" i="17"/>
  <c r="H19" i="17"/>
  <c r="G19" i="17"/>
  <c r="G106" i="17"/>
  <c r="G79" i="17"/>
  <c r="G80" i="17"/>
  <c r="G81" i="17"/>
  <c r="G82" i="17"/>
  <c r="G83" i="17"/>
  <c r="G84" i="17"/>
  <c r="G85" i="17"/>
  <c r="G86" i="17"/>
  <c r="G87" i="17"/>
  <c r="G88" i="17"/>
  <c r="G89" i="17"/>
  <c r="G90" i="17"/>
  <c r="G91" i="17"/>
  <c r="G92" i="17"/>
  <c r="G93" i="17"/>
  <c r="G94" i="17"/>
  <c r="G95" i="17"/>
  <c r="G96" i="17"/>
  <c r="G97" i="17"/>
  <c r="G98" i="17"/>
  <c r="G99" i="17"/>
  <c r="G100" i="17"/>
  <c r="G78" i="17"/>
  <c r="G20" i="17"/>
  <c r="G21" i="17"/>
  <c r="G22" i="17"/>
  <c r="G23" i="17"/>
  <c r="G24" i="17"/>
  <c r="G25" i="17"/>
  <c r="G26" i="17"/>
  <c r="G27" i="17"/>
  <c r="G28" i="17"/>
  <c r="G29" i="17"/>
  <c r="G30" i="17"/>
  <c r="G31" i="17"/>
  <c r="G32" i="17"/>
  <c r="G33" i="17"/>
  <c r="G34" i="17"/>
  <c r="G35" i="17"/>
  <c r="G36" i="17"/>
  <c r="G37" i="17"/>
  <c r="G38" i="17"/>
  <c r="G39" i="17"/>
  <c r="G40" i="17"/>
  <c r="G41" i="17"/>
  <c r="G42" i="17"/>
  <c r="G43" i="17"/>
  <c r="G44" i="17"/>
  <c r="G45" i="17"/>
  <c r="G46" i="17"/>
  <c r="G47" i="17"/>
  <c r="G48" i="17"/>
  <c r="G49" i="17"/>
  <c r="G50" i="17"/>
  <c r="G51" i="17"/>
  <c r="G52" i="17"/>
  <c r="G53" i="17"/>
  <c r="G54" i="17"/>
  <c r="G55" i="17"/>
  <c r="G56" i="17"/>
  <c r="G57" i="17"/>
  <c r="G58" i="17"/>
  <c r="G59" i="17"/>
  <c r="G60" i="17"/>
  <c r="G61" i="17"/>
  <c r="G62" i="17"/>
  <c r="G63" i="17"/>
  <c r="G64" i="17"/>
  <c r="G65" i="17"/>
  <c r="G66" i="17"/>
  <c r="G67" i="17"/>
  <c r="G68" i="17"/>
  <c r="G69" i="17"/>
  <c r="G70" i="17"/>
  <c r="G71" i="17"/>
  <c r="G72" i="17"/>
  <c r="A78" i="17"/>
  <c r="A79" i="17" s="1"/>
  <c r="A80" i="17" s="1"/>
  <c r="A81" i="17" s="1"/>
  <c r="A82" i="17" s="1"/>
  <c r="A83" i="17" s="1"/>
  <c r="A84" i="17" s="1"/>
  <c r="A85" i="17" s="1"/>
  <c r="A86" i="17" s="1"/>
  <c r="A87" i="17" s="1"/>
  <c r="A88" i="17" s="1"/>
  <c r="A89" i="17" s="1"/>
  <c r="A90" i="17" s="1"/>
  <c r="A91" i="17" s="1"/>
  <c r="A92" i="17" s="1"/>
  <c r="A93" i="17" s="1"/>
  <c r="A94" i="17" s="1"/>
  <c r="A95" i="17" s="1"/>
  <c r="A96" i="17" s="1"/>
  <c r="A97" i="17" s="1"/>
  <c r="A98" i="17" s="1"/>
  <c r="A99" i="17" s="1"/>
  <c r="A100" i="17" s="1"/>
  <c r="A106" i="17" s="1"/>
  <c r="AH52" i="10"/>
  <c r="P32" i="10"/>
  <c r="Z79" i="10"/>
  <c r="AB79" i="10" s="1"/>
  <c r="Y85" i="10"/>
  <c r="AA85" i="10" s="1"/>
  <c r="AH84" i="10"/>
  <c r="AH74" i="10"/>
  <c r="AA70" i="10"/>
  <c r="AB53" i="10"/>
  <c r="AA53" i="10"/>
  <c r="P53" i="10"/>
  <c r="AB51" i="10"/>
  <c r="AH50" i="10"/>
  <c r="AB50" i="10"/>
  <c r="AB49" i="10"/>
  <c r="AB48" i="10"/>
  <c r="AF49" i="10"/>
  <c r="AH49" i="10" s="1"/>
  <c r="P48" i="10"/>
  <c r="AH43" i="10"/>
  <c r="AE42" i="10"/>
  <c r="AB42" i="10"/>
  <c r="AA42" i="10"/>
  <c r="V42" i="10"/>
  <c r="U42" i="10"/>
  <c r="P42" i="10"/>
  <c r="AH38" i="10"/>
  <c r="AB38" i="10"/>
  <c r="Z36" i="10"/>
  <c r="AB36" i="10" s="1"/>
  <c r="V36" i="10"/>
  <c r="U36" i="10"/>
  <c r="P36" i="10"/>
  <c r="AF29" i="10"/>
  <c r="AG29" i="10" s="1"/>
  <c r="AE29" i="10"/>
  <c r="AB29" i="10"/>
  <c r="Z27" i="10"/>
  <c r="AB27" i="10" s="1"/>
  <c r="AB26" i="10"/>
  <c r="Y27" i="10"/>
  <c r="AF27" i="10" s="1"/>
  <c r="AE27" i="10"/>
  <c r="V26" i="10"/>
  <c r="AG26" i="10"/>
  <c r="AE26" i="10"/>
  <c r="AH26" i="10"/>
  <c r="AE23" i="10"/>
  <c r="AI23" i="10" s="1"/>
  <c r="AJ23" i="10" s="1"/>
  <c r="L39" i="17" s="1"/>
  <c r="AH23" i="10"/>
  <c r="AB23" i="10"/>
  <c r="Z15" i="10"/>
  <c r="AB15" i="10" s="1"/>
  <c r="V23" i="10"/>
  <c r="U23" i="10"/>
  <c r="P23" i="10"/>
  <c r="AE9" i="10"/>
  <c r="AE15" i="10"/>
  <c r="AE14" i="10"/>
  <c r="P14" i="10"/>
  <c r="AE12" i="10"/>
  <c r="AE10" i="10"/>
  <c r="AB10" i="10"/>
  <c r="AA10" i="10"/>
  <c r="V10" i="10"/>
  <c r="U10" i="10"/>
  <c r="P10" i="10"/>
  <c r="AH20" i="10"/>
  <c r="AG20" i="10"/>
  <c r="K40" i="17" s="1"/>
  <c r="AE20" i="10"/>
  <c r="P20" i="10"/>
  <c r="AB30" i="10"/>
  <c r="AA30" i="10"/>
  <c r="V30" i="10"/>
  <c r="U30" i="10"/>
  <c r="V8" i="10"/>
  <c r="U8" i="10"/>
  <c r="P81" i="10"/>
  <c r="P78" i="10"/>
  <c r="P75" i="10"/>
  <c r="P60" i="10"/>
  <c r="P38" i="10"/>
  <c r="P29" i="10"/>
  <c r="P27" i="10"/>
  <c r="P12" i="10"/>
  <c r="P9" i="10"/>
  <c r="P8" i="10"/>
  <c r="X80" i="10"/>
  <c r="AE80" i="10" s="1"/>
  <c r="W13" i="10"/>
  <c r="AA13" i="10" s="1"/>
  <c r="AH80" i="10"/>
  <c r="AH82" i="10"/>
  <c r="AH13" i="10"/>
  <c r="AA80" i="10"/>
  <c r="AA82" i="10"/>
  <c r="AA71" i="10"/>
  <c r="U80" i="10"/>
  <c r="U82" i="10"/>
  <c r="U71" i="10"/>
  <c r="U13" i="10"/>
  <c r="P13" i="10"/>
  <c r="AA68" i="10"/>
  <c r="Y46" i="10"/>
  <c r="AE46" i="10"/>
  <c r="AF34" i="10"/>
  <c r="AH34" i="10" s="1"/>
  <c r="AF22" i="10"/>
  <c r="AG22" i="10" s="1"/>
  <c r="AE22" i="10"/>
  <c r="AF31" i="10"/>
  <c r="AH31" i="10" s="1"/>
  <c r="AE31" i="10"/>
  <c r="AB65" i="10"/>
  <c r="AB61" i="10"/>
  <c r="AB34" i="10"/>
  <c r="AB31" i="10"/>
  <c r="AA65" i="10"/>
  <c r="AA61" i="10"/>
  <c r="AA34" i="10"/>
  <c r="AA31" i="10"/>
  <c r="V69" i="10"/>
  <c r="V68" i="10"/>
  <c r="V65" i="10"/>
  <c r="V61" i="10"/>
  <c r="V46" i="10"/>
  <c r="V34" i="10"/>
  <c r="V31" i="10"/>
  <c r="V22" i="10"/>
  <c r="U69" i="10"/>
  <c r="U68" i="10"/>
  <c r="U65" i="10"/>
  <c r="U61" i="10"/>
  <c r="U58" i="10"/>
  <c r="U46" i="10"/>
  <c r="U34" i="10"/>
  <c r="U31" i="10"/>
  <c r="U22" i="10"/>
  <c r="P69" i="10"/>
  <c r="P68" i="10"/>
  <c r="P65" i="10"/>
  <c r="P61" i="10"/>
  <c r="P46" i="10"/>
  <c r="P34" i="10"/>
  <c r="P31" i="10"/>
  <c r="AG30" i="10"/>
  <c r="AE30" i="10"/>
  <c r="AH30" i="10"/>
  <c r="O30" i="10"/>
  <c r="N30" i="10"/>
  <c r="P82" i="10"/>
  <c r="R45" i="10"/>
  <c r="AH45" i="10"/>
  <c r="AE44" i="10"/>
  <c r="AB44" i="10"/>
  <c r="AH73" i="10"/>
  <c r="V33" i="10"/>
  <c r="AE33" i="10"/>
  <c r="W33" i="10"/>
  <c r="AA33" i="10" s="1"/>
  <c r="U33" i="10"/>
  <c r="P33" i="10"/>
  <c r="AF28" i="10"/>
  <c r="AH28" i="10" s="1"/>
  <c r="AE28" i="10"/>
  <c r="AB28" i="10"/>
  <c r="AA28" i="10"/>
  <c r="AF24" i="10"/>
  <c r="AH24" i="10" s="1"/>
  <c r="AE24" i="10"/>
  <c r="AB24" i="10"/>
  <c r="AA24" i="10"/>
  <c r="AF21" i="10"/>
  <c r="AG21" i="10" s="1"/>
  <c r="AE21" i="10"/>
  <c r="AB21" i="10"/>
  <c r="AA21" i="10"/>
  <c r="V21" i="10"/>
  <c r="U21" i="10"/>
  <c r="P21" i="10"/>
  <c r="AH64" i="10"/>
  <c r="AA64" i="10"/>
  <c r="U64" i="10"/>
  <c r="P64" i="10"/>
  <c r="AE77" i="10"/>
  <c r="AB47" i="10"/>
  <c r="V47" i="10"/>
  <c r="AB52" i="10"/>
  <c r="AA52" i="10"/>
  <c r="V52" i="10"/>
  <c r="U52" i="10"/>
  <c r="P52" i="10"/>
  <c r="AB41" i="10"/>
  <c r="AA41" i="10"/>
  <c r="V41" i="10"/>
  <c r="U41" i="10"/>
  <c r="P41" i="10"/>
  <c r="Z66" i="10"/>
  <c r="U66" i="10"/>
  <c r="P66" i="10"/>
  <c r="V57" i="10"/>
  <c r="U57" i="10"/>
  <c r="P57" i="10"/>
  <c r="T56" i="10"/>
  <c r="V56" i="10" s="1"/>
  <c r="Z55" i="10"/>
  <c r="AB55" i="10" s="1"/>
  <c r="T55" i="10"/>
  <c r="V55" i="10" s="1"/>
  <c r="U55" i="10"/>
  <c r="P55" i="10"/>
  <c r="AH17" i="10"/>
  <c r="AH76" i="10"/>
  <c r="R76" i="10"/>
  <c r="V76" i="10" s="1"/>
  <c r="AH54" i="10"/>
  <c r="AB54" i="10"/>
  <c r="AA54" i="10"/>
  <c r="V54" i="10"/>
  <c r="U54" i="10"/>
  <c r="P54" i="10"/>
  <c r="AB19" i="10"/>
  <c r="AA19" i="10"/>
  <c r="V19" i="10"/>
  <c r="U19" i="10"/>
  <c r="P19" i="10"/>
  <c r="AI18" i="10"/>
  <c r="AJ18" i="10" s="1"/>
  <c r="L52" i="17" s="1"/>
  <c r="AD18" i="10"/>
  <c r="AH18" i="10" s="1"/>
  <c r="AB18" i="10"/>
  <c r="AA18" i="10"/>
  <c r="V18" i="10"/>
  <c r="U18" i="10"/>
  <c r="AE8" i="10"/>
  <c r="AB8" i="10"/>
  <c r="AA8" i="10"/>
  <c r="AE39" i="10"/>
  <c r="AI39" i="10" s="1"/>
  <c r="AJ39" i="10" s="1"/>
  <c r="L28" i="17" s="1"/>
  <c r="O28" i="17" s="1"/>
  <c r="AH40" i="10"/>
  <c r="AH39" i="10"/>
  <c r="AB40" i="10"/>
  <c r="AB39" i="10"/>
  <c r="AA40" i="10"/>
  <c r="AA39" i="10"/>
  <c r="V40" i="10"/>
  <c r="V39" i="10"/>
  <c r="U40" i="10"/>
  <c r="U39" i="10"/>
  <c r="P40" i="10"/>
  <c r="P39" i="10"/>
  <c r="AE37" i="10"/>
  <c r="AI37" i="10" s="1"/>
  <c r="AJ37" i="10" s="1"/>
  <c r="L34" i="17" s="1"/>
  <c r="AH37" i="10"/>
  <c r="AB37" i="10"/>
  <c r="AA37" i="10"/>
  <c r="V37" i="10"/>
  <c r="U37" i="10"/>
  <c r="P37" i="10"/>
  <c r="AB22" i="10"/>
  <c r="P28" i="10"/>
  <c r="P24" i="10"/>
  <c r="V28" i="10"/>
  <c r="V24" i="10"/>
  <c r="U28" i="10"/>
  <c r="U24" i="10"/>
  <c r="AA45" i="10"/>
  <c r="AB77" i="10"/>
  <c r="AA77" i="10"/>
  <c r="V77" i="10"/>
  <c r="U77" i="10"/>
  <c r="P77" i="10"/>
  <c r="AA78" i="10"/>
  <c r="AA75" i="10"/>
  <c r="AA74" i="10"/>
  <c r="AA60" i="10"/>
  <c r="AA51" i="10"/>
  <c r="AA50" i="10"/>
  <c r="AA49" i="10"/>
  <c r="AA48" i="10"/>
  <c r="AA44" i="10"/>
  <c r="AA38" i="10"/>
  <c r="AA29" i="10"/>
  <c r="V43" i="10"/>
  <c r="U43" i="10"/>
  <c r="V20" i="10"/>
  <c r="V29" i="10"/>
  <c r="V9" i="10"/>
  <c r="V81" i="10"/>
  <c r="V79" i="10"/>
  <c r="V78" i="10"/>
  <c r="V75" i="10"/>
  <c r="V74" i="10"/>
  <c r="V70" i="10"/>
  <c r="V67" i="10"/>
  <c r="V66" i="10"/>
  <c r="V60" i="10"/>
  <c r="V53" i="10"/>
  <c r="V51" i="10"/>
  <c r="V50" i="10"/>
  <c r="V49" i="10"/>
  <c r="V48" i="10"/>
  <c r="V44" i="10"/>
  <c r="V38" i="10"/>
  <c r="V27" i="10"/>
  <c r="V12" i="10"/>
  <c r="U81" i="10"/>
  <c r="U67" i="10"/>
  <c r="U50" i="10"/>
  <c r="U49" i="10"/>
  <c r="U48" i="10"/>
  <c r="U27" i="10"/>
  <c r="U60" i="10"/>
  <c r="U51" i="10"/>
  <c r="U38" i="10"/>
  <c r="U29" i="10"/>
  <c r="U12" i="10"/>
  <c r="U9" i="10"/>
  <c r="P79" i="10"/>
  <c r="P70" i="10"/>
  <c r="P67" i="10"/>
  <c r="P51" i="10"/>
  <c r="P50" i="10"/>
  <c r="P49" i="10"/>
  <c r="P44" i="10"/>
  <c r="P26" i="10"/>
  <c r="AB84" i="10"/>
  <c r="AB83" i="10"/>
  <c r="AA84" i="10"/>
  <c r="AA83" i="10"/>
  <c r="V85" i="10"/>
  <c r="V84" i="10"/>
  <c r="V83" i="10"/>
  <c r="U85" i="10"/>
  <c r="U84" i="10"/>
  <c r="U83" i="10"/>
  <c r="P85" i="10"/>
  <c r="P84" i="10"/>
  <c r="P83" i="10"/>
  <c r="AA62" i="10"/>
  <c r="AA57" i="10"/>
  <c r="V62" i="10"/>
  <c r="U62" i="10"/>
  <c r="U56" i="10"/>
  <c r="P62" i="10"/>
  <c r="P56" i="10"/>
  <c r="P22" i="10"/>
  <c r="U20" i="10"/>
  <c r="A71" i="14"/>
  <c r="A72" i="14"/>
  <c r="A73" i="14"/>
  <c r="A74" i="14"/>
  <c r="A75" i="14"/>
  <c r="A76" i="14"/>
  <c r="A77" i="14"/>
  <c r="A78" i="14"/>
  <c r="A79" i="14"/>
  <c r="A80" i="14"/>
  <c r="A81" i="14"/>
  <c r="A82" i="14"/>
  <c r="A83" i="14"/>
  <c r="A84" i="14"/>
  <c r="A85" i="14"/>
  <c r="A86" i="14"/>
  <c r="A87" i="14"/>
  <c r="A88" i="14"/>
  <c r="A89" i="14"/>
  <c r="A90" i="14"/>
  <c r="A91" i="14"/>
  <c r="Y26" i="10"/>
  <c r="AA26" i="10" s="1"/>
  <c r="S26" i="10"/>
  <c r="U26" i="10" s="1"/>
  <c r="W58" i="10"/>
  <c r="AA58" i="10" s="1"/>
  <c r="P45" i="10"/>
  <c r="F13" i="7"/>
  <c r="G13" i="7"/>
  <c r="H13" i="7"/>
  <c r="AE81" i="10"/>
  <c r="AE79" i="10"/>
  <c r="U79" i="10"/>
  <c r="AB78" i="10"/>
  <c r="Q78" i="10"/>
  <c r="U78" i="10" s="1"/>
  <c r="AE85" i="10"/>
  <c r="AE84" i="10"/>
  <c r="AE83" i="10"/>
  <c r="AA76" i="10"/>
  <c r="S76" i="10"/>
  <c r="U76" i="10" s="1"/>
  <c r="P76" i="10"/>
  <c r="AB75" i="10"/>
  <c r="U75" i="10"/>
  <c r="AE74" i="10"/>
  <c r="AB74" i="10"/>
  <c r="S74" i="10"/>
  <c r="Q74" i="10"/>
  <c r="AA73" i="10"/>
  <c r="S73" i="10"/>
  <c r="U73" i="10" s="1"/>
  <c r="R73" i="10"/>
  <c r="V73" i="10" s="1"/>
  <c r="P73" i="10"/>
  <c r="AE72" i="10"/>
  <c r="P71" i="10"/>
  <c r="U70" i="10"/>
  <c r="AB62" i="10"/>
  <c r="AB60" i="10"/>
  <c r="V59" i="10"/>
  <c r="U59" i="10"/>
  <c r="P59" i="10"/>
  <c r="AB57" i="10"/>
  <c r="AE54" i="10"/>
  <c r="U53" i="10"/>
  <c r="AE49" i="10"/>
  <c r="AI49" i="10" s="1"/>
  <c r="AJ49" i="10" s="1"/>
  <c r="L20" i="17" s="1"/>
  <c r="O20" i="17" s="1"/>
  <c r="AE48" i="10"/>
  <c r="AE47" i="10"/>
  <c r="U45" i="10"/>
  <c r="U44" i="10"/>
  <c r="AE41" i="10"/>
  <c r="AH35" i="10"/>
  <c r="AE35" i="10"/>
  <c r="AI35" i="10" s="1"/>
  <c r="AJ35" i="10" s="1"/>
  <c r="L22" i="17" s="1"/>
  <c r="R33" i="10"/>
  <c r="V32" i="10"/>
  <c r="U32" i="10"/>
  <c r="AB20" i="10"/>
  <c r="AE19" i="10"/>
  <c r="AH16" i="10"/>
  <c r="AE16" i="10"/>
  <c r="AI16" i="10" s="1"/>
  <c r="AJ16" i="10" s="1"/>
  <c r="L62" i="17" s="1"/>
  <c r="AB16" i="10"/>
  <c r="AA16" i="10"/>
  <c r="V16" i="10"/>
  <c r="U16" i="10"/>
  <c r="P16" i="10"/>
  <c r="AE11" i="10"/>
  <c r="AB11" i="10"/>
  <c r="AA11" i="10"/>
  <c r="V11" i="10"/>
  <c r="U11" i="10"/>
  <c r="P11" i="10"/>
  <c r="AA17" i="10"/>
  <c r="E13" i="7"/>
  <c r="D13" i="7"/>
  <c r="C13" i="7"/>
  <c r="R61" i="1"/>
  <c r="X61" i="1"/>
  <c r="AE61" i="1"/>
  <c r="Z5" i="1"/>
  <c r="Y5" i="1"/>
  <c r="V14" i="1"/>
  <c r="Z14" i="1"/>
  <c r="M14" i="1"/>
  <c r="Q14" i="1"/>
  <c r="Y14" i="1"/>
  <c r="L14" i="1"/>
  <c r="O14" i="1"/>
  <c r="J14" i="1"/>
  <c r="AC14" i="1"/>
  <c r="AH14" i="1"/>
  <c r="AC60" i="1"/>
  <c r="AH60" i="1"/>
  <c r="AC56" i="1"/>
  <c r="AG56" i="1"/>
  <c r="AC38" i="1"/>
  <c r="AG38" i="1"/>
  <c r="AC29" i="1"/>
  <c r="AG29" i="1"/>
  <c r="AC13" i="1"/>
  <c r="AG13" i="1"/>
  <c r="AC8" i="1"/>
  <c r="AG8" i="1"/>
  <c r="AF60" i="1"/>
  <c r="AF56" i="1"/>
  <c r="AF38" i="1"/>
  <c r="AF29" i="1"/>
  <c r="AF13" i="1"/>
  <c r="AF8" i="1"/>
  <c r="Z60" i="1"/>
  <c r="Z56" i="1"/>
  <c r="Z38" i="1"/>
  <c r="Z29" i="1"/>
  <c r="Z13" i="1"/>
  <c r="Z8" i="1"/>
  <c r="Y60" i="1"/>
  <c r="Y56" i="1"/>
  <c r="Y38" i="1"/>
  <c r="Y29" i="1"/>
  <c r="Y13" i="1"/>
  <c r="Y8" i="1"/>
  <c r="S8" i="1"/>
  <c r="T60" i="1"/>
  <c r="N60" i="1"/>
  <c r="S60" i="1"/>
  <c r="T8" i="1"/>
  <c r="T13" i="1"/>
  <c r="T29" i="1"/>
  <c r="T38" i="1"/>
  <c r="T56" i="1"/>
  <c r="S56" i="1"/>
  <c r="S38" i="1"/>
  <c r="S29" i="1"/>
  <c r="S13" i="1"/>
  <c r="N38" i="1"/>
  <c r="N13" i="1"/>
  <c r="P68" i="1"/>
  <c r="V68" i="1"/>
  <c r="AD68" i="1"/>
  <c r="AF68" i="1"/>
  <c r="R68" i="1"/>
  <c r="P61" i="1"/>
  <c r="V61" i="1"/>
  <c r="AF61" i="1"/>
  <c r="Y40" i="1"/>
  <c r="AF32" i="1"/>
  <c r="AC32" i="1"/>
  <c r="AG32" i="1"/>
  <c r="AC46" i="1"/>
  <c r="AG46" i="1"/>
  <c r="AF46" i="1"/>
  <c r="AC30" i="1"/>
  <c r="AB30" i="1"/>
  <c r="AF30" i="1"/>
  <c r="R30" i="1"/>
  <c r="AC47" i="1"/>
  <c r="AH47" i="1"/>
  <c r="AC35" i="1"/>
  <c r="AH35" i="1"/>
  <c r="U30" i="1"/>
  <c r="Y30" i="1"/>
  <c r="P30" i="1"/>
  <c r="AF35" i="1"/>
  <c r="AF47" i="1"/>
  <c r="S47" i="1"/>
  <c r="Y47" i="1"/>
  <c r="S75" i="1"/>
  <c r="N56" i="1"/>
  <c r="N8" i="1"/>
  <c r="S69" i="1"/>
  <c r="T40" i="1"/>
  <c r="N74" i="1"/>
  <c r="N68" i="1"/>
  <c r="N61" i="1"/>
  <c r="N42" i="1"/>
  <c r="N73" i="1"/>
  <c r="N70" i="1"/>
  <c r="N10" i="1"/>
  <c r="N28" i="1"/>
  <c r="N29" i="1"/>
  <c r="N62" i="1"/>
  <c r="N66" i="1"/>
  <c r="N65" i="1"/>
  <c r="N58" i="1"/>
  <c r="N55" i="1"/>
  <c r="N43" i="1"/>
  <c r="N31" i="1"/>
  <c r="N19" i="1"/>
  <c r="N5" i="1"/>
  <c r="AC81" i="1"/>
  <c r="AH81" i="1"/>
  <c r="AC73" i="1"/>
  <c r="AH73" i="1"/>
  <c r="AC70" i="1"/>
  <c r="AH70" i="1"/>
  <c r="AC42" i="1"/>
  <c r="P70" i="1"/>
  <c r="T70" i="1"/>
  <c r="P10" i="1"/>
  <c r="P73" i="1"/>
  <c r="Q34" i="1"/>
  <c r="S34" i="1"/>
  <c r="R73" i="1"/>
  <c r="R42" i="1"/>
  <c r="T42" i="1"/>
  <c r="Z42" i="1"/>
  <c r="X74" i="1"/>
  <c r="Q74" i="1"/>
  <c r="S74" i="1"/>
  <c r="Z70" i="1"/>
  <c r="F5" i="7"/>
  <c r="F4" i="7"/>
  <c r="D6" i="7"/>
  <c r="E6" i="7"/>
  <c r="C6" i="7"/>
  <c r="E70" i="4"/>
  <c r="E71" i="4"/>
  <c r="E72" i="4"/>
  <c r="E73" i="4"/>
  <c r="E74" i="4"/>
  <c r="E75" i="4"/>
  <c r="E76" i="4"/>
  <c r="E77" i="4"/>
  <c r="E78" i="4"/>
  <c r="E79" i="4"/>
  <c r="E87" i="4"/>
  <c r="E58" i="4"/>
  <c r="E59" i="4"/>
  <c r="E60" i="4"/>
  <c r="E61" i="4"/>
  <c r="E62" i="4"/>
  <c r="E63" i="4"/>
  <c r="E64" i="4"/>
  <c r="E65" i="4"/>
  <c r="E66" i="4"/>
  <c r="E67" i="4"/>
  <c r="E68" i="4"/>
  <c r="E69" i="4"/>
  <c r="E86" i="4"/>
  <c r="E31" i="4"/>
  <c r="E32" i="4"/>
  <c r="E33" i="4"/>
  <c r="E34" i="4"/>
  <c r="E35" i="4"/>
  <c r="E36" i="4"/>
  <c r="E37" i="4"/>
  <c r="E38" i="4"/>
  <c r="E39" i="4"/>
  <c r="E40" i="4"/>
  <c r="E41" i="4"/>
  <c r="E42" i="4"/>
  <c r="E43" i="4"/>
  <c r="E44" i="4"/>
  <c r="E45" i="4"/>
  <c r="E46" i="4"/>
  <c r="E47" i="4"/>
  <c r="E48" i="4"/>
  <c r="E49" i="4"/>
  <c r="E50" i="4"/>
  <c r="E51" i="4"/>
  <c r="E52" i="4"/>
  <c r="E53" i="4"/>
  <c r="E54" i="4"/>
  <c r="E55" i="4"/>
  <c r="E56" i="4"/>
  <c r="E57" i="4"/>
  <c r="E85" i="4"/>
  <c r="E10" i="4"/>
  <c r="E11" i="4"/>
  <c r="E12" i="4"/>
  <c r="E13" i="4"/>
  <c r="E14" i="4"/>
  <c r="E15" i="4"/>
  <c r="E16" i="4"/>
  <c r="E17" i="4"/>
  <c r="E18" i="4"/>
  <c r="E19" i="4"/>
  <c r="E20" i="4"/>
  <c r="E21" i="4"/>
  <c r="E22" i="4"/>
  <c r="E23" i="4"/>
  <c r="E24" i="4"/>
  <c r="E25" i="4"/>
  <c r="E26" i="4"/>
  <c r="E27" i="4"/>
  <c r="E28" i="4"/>
  <c r="E29" i="4"/>
  <c r="E30" i="4"/>
  <c r="E84" i="4"/>
  <c r="E3" i="4"/>
  <c r="E4" i="4"/>
  <c r="E5" i="4"/>
  <c r="E6" i="4"/>
  <c r="E7" i="4"/>
  <c r="E8" i="4"/>
  <c r="E9" i="4"/>
  <c r="E2" i="4"/>
  <c r="AC6" i="1"/>
  <c r="AH6" i="1"/>
  <c r="AC7" i="1"/>
  <c r="AH7" i="1"/>
  <c r="AC9" i="1"/>
  <c r="AH9" i="1"/>
  <c r="AC11" i="1"/>
  <c r="AH11" i="1"/>
  <c r="AC12" i="1"/>
  <c r="AC15" i="1"/>
  <c r="AC16" i="1"/>
  <c r="AC17" i="1"/>
  <c r="AH17" i="1"/>
  <c r="AC18" i="1"/>
  <c r="AH18" i="1"/>
  <c r="AC19" i="1"/>
  <c r="AC20" i="1"/>
  <c r="AH20" i="1"/>
  <c r="AC21" i="1"/>
  <c r="AH21" i="1"/>
  <c r="AC22" i="1"/>
  <c r="AC23" i="1"/>
  <c r="AH23" i="1"/>
  <c r="AC24" i="1"/>
  <c r="AH24" i="1"/>
  <c r="AC25" i="1"/>
  <c r="AH25" i="1"/>
  <c r="AC26" i="1"/>
  <c r="AC27" i="1"/>
  <c r="AH27" i="1"/>
  <c r="AC28" i="1"/>
  <c r="AC33" i="1"/>
  <c r="AH33" i="1"/>
  <c r="AC34" i="1"/>
  <c r="AH34" i="1"/>
  <c r="AC36" i="1"/>
  <c r="AC37" i="1"/>
  <c r="AH37" i="1"/>
  <c r="AC39" i="1"/>
  <c r="AH39" i="1"/>
  <c r="AC41" i="1"/>
  <c r="AH41" i="1"/>
  <c r="AC43" i="1"/>
  <c r="AH43" i="1"/>
  <c r="AC44" i="1"/>
  <c r="AH44" i="1"/>
  <c r="AC45" i="1"/>
  <c r="AH45" i="1"/>
  <c r="AC48" i="1"/>
  <c r="AC49" i="1"/>
  <c r="AC50" i="1"/>
  <c r="AH50" i="1"/>
  <c r="AC51" i="1"/>
  <c r="AH51" i="1"/>
  <c r="AC52" i="1"/>
  <c r="AH52" i="1"/>
  <c r="AC53" i="1"/>
  <c r="AH53" i="1"/>
  <c r="AC54" i="1"/>
  <c r="AC55" i="1"/>
  <c r="AH55" i="1"/>
  <c r="AC57" i="1"/>
  <c r="AH57" i="1"/>
  <c r="AC58" i="1"/>
  <c r="AH58" i="1"/>
  <c r="AC59" i="1"/>
  <c r="AH59" i="1"/>
  <c r="AC62" i="1"/>
  <c r="AC63" i="1"/>
  <c r="AH63" i="1"/>
  <c r="AC64" i="1"/>
  <c r="AH64" i="1"/>
  <c r="AC65" i="1"/>
  <c r="AC66" i="1"/>
  <c r="AH66" i="1"/>
  <c r="AC67" i="1"/>
  <c r="AC69" i="1"/>
  <c r="AH69" i="1"/>
  <c r="AC71" i="1"/>
  <c r="AH71" i="1"/>
  <c r="AC72" i="1"/>
  <c r="AH72" i="1"/>
  <c r="AC75" i="1"/>
  <c r="AC76" i="1"/>
  <c r="AC77" i="1"/>
  <c r="AH77" i="1"/>
  <c r="AC78" i="1"/>
  <c r="AH78" i="1"/>
  <c r="AC79" i="1"/>
  <c r="AH79" i="1"/>
  <c r="AC80" i="1"/>
  <c r="AH80" i="1"/>
  <c r="AC82" i="1"/>
  <c r="AH82" i="1"/>
  <c r="Z40" i="1"/>
  <c r="Z34" i="1"/>
  <c r="Z35" i="1"/>
  <c r="Z41" i="1"/>
  <c r="Z43" i="1"/>
  <c r="Z44" i="1"/>
  <c r="Z45" i="1"/>
  <c r="Z47" i="1"/>
  <c r="Z49" i="1"/>
  <c r="Z50" i="1"/>
  <c r="Z51" i="1"/>
  <c r="Z57" i="1"/>
  <c r="Z62" i="1"/>
  <c r="Z63" i="1"/>
  <c r="Z64" i="1"/>
  <c r="Z69" i="1"/>
  <c r="Z71" i="1"/>
  <c r="Z72" i="1"/>
  <c r="Z75" i="1"/>
  <c r="Z76" i="1"/>
  <c r="Z77" i="1"/>
  <c r="Z78" i="1"/>
  <c r="Z79" i="1"/>
  <c r="Z81" i="1"/>
  <c r="Z82" i="1"/>
  <c r="Z67" i="1"/>
  <c r="Z66" i="1"/>
  <c r="Z65" i="1"/>
  <c r="Z59" i="1"/>
  <c r="Z58" i="1"/>
  <c r="Z55" i="1"/>
  <c r="Z54" i="1"/>
  <c r="Z53" i="1"/>
  <c r="Z48" i="1"/>
  <c r="Y12" i="1"/>
  <c r="Y15" i="1"/>
  <c r="Y16" i="1"/>
  <c r="Y26" i="1"/>
  <c r="Y32" i="1"/>
  <c r="Y36" i="1"/>
  <c r="Y37" i="1"/>
  <c r="Y45" i="1"/>
  <c r="Y49" i="1"/>
  <c r="Y62" i="1"/>
  <c r="Y63" i="1"/>
  <c r="Y64" i="1"/>
  <c r="Y68" i="1"/>
  <c r="Y69" i="1"/>
  <c r="Y74" i="1"/>
  <c r="Y75" i="1"/>
  <c r="Y76" i="1"/>
  <c r="Y77" i="1"/>
  <c r="Y82" i="1"/>
  <c r="Y6" i="1"/>
  <c r="T69" i="1"/>
  <c r="T59" i="1"/>
  <c r="T57" i="1"/>
  <c r="T48" i="1"/>
  <c r="T31" i="1"/>
  <c r="T26" i="1"/>
  <c r="T24" i="1"/>
  <c r="T22" i="1"/>
  <c r="T19" i="1"/>
  <c r="T16" i="1"/>
  <c r="T15" i="1"/>
  <c r="T9" i="1"/>
  <c r="T6" i="1"/>
  <c r="T5" i="1"/>
  <c r="T7" i="1"/>
  <c r="T11" i="1"/>
  <c r="T12" i="1"/>
  <c r="T17" i="1"/>
  <c r="T18" i="1"/>
  <c r="T20" i="1"/>
  <c r="T21" i="1"/>
  <c r="T23" i="1"/>
  <c r="T25" i="1"/>
  <c r="T27" i="1"/>
  <c r="T28" i="1"/>
  <c r="T32" i="1"/>
  <c r="T33" i="1"/>
  <c r="T34" i="1"/>
  <c r="T35" i="1"/>
  <c r="T36" i="1"/>
  <c r="T37" i="1"/>
  <c r="T39" i="1"/>
  <c r="T41" i="1"/>
  <c r="T43" i="1"/>
  <c r="T44" i="1"/>
  <c r="T45" i="1"/>
  <c r="T46" i="1"/>
  <c r="T47" i="1"/>
  <c r="T49" i="1"/>
  <c r="T50" i="1"/>
  <c r="T51" i="1"/>
  <c r="T53" i="1"/>
  <c r="T54" i="1"/>
  <c r="T55" i="1"/>
  <c r="T58" i="1"/>
  <c r="T62" i="1"/>
  <c r="T63" i="1"/>
  <c r="T64" i="1"/>
  <c r="T65" i="1"/>
  <c r="T66" i="1"/>
  <c r="T67" i="1"/>
  <c r="T71" i="1"/>
  <c r="T72" i="1"/>
  <c r="T75" i="1"/>
  <c r="T76" i="1"/>
  <c r="T77" i="1"/>
  <c r="T78" i="1"/>
  <c r="T79" i="1"/>
  <c r="T80" i="1"/>
  <c r="T81" i="1"/>
  <c r="T82" i="1"/>
  <c r="Q11" i="1"/>
  <c r="S11" i="1"/>
  <c r="Y73" i="1"/>
  <c r="Y53" i="1"/>
  <c r="Y54" i="1"/>
  <c r="Y57" i="1"/>
  <c r="Y61" i="1"/>
  <c r="S62" i="1"/>
  <c r="R52" i="1"/>
  <c r="T52" i="1"/>
  <c r="Q50" i="1"/>
  <c r="S50" i="1"/>
  <c r="Q51" i="1"/>
  <c r="S51" i="1"/>
  <c r="Q55" i="1"/>
  <c r="S55" i="1"/>
  <c r="Q58" i="1"/>
  <c r="S58" i="1"/>
  <c r="Q59" i="1"/>
  <c r="S59" i="1"/>
  <c r="Q67" i="1"/>
  <c r="S67" i="1"/>
  <c r="S68" i="1"/>
  <c r="Q70" i="1"/>
  <c r="S70" i="1"/>
  <c r="Z80" i="1"/>
  <c r="Z46" i="1"/>
  <c r="Y44" i="1"/>
  <c r="Z37" i="1"/>
  <c r="Z36" i="1"/>
  <c r="Z33" i="1"/>
  <c r="Z32" i="1"/>
  <c r="Y79" i="1"/>
  <c r="Y78" i="1"/>
  <c r="Q43" i="1"/>
  <c r="S43" i="1"/>
  <c r="Q80" i="1"/>
  <c r="S80" i="1"/>
  <c r="Q78" i="1"/>
  <c r="S78" i="1"/>
  <c r="S46" i="1"/>
  <c r="S44" i="1"/>
  <c r="Q41" i="1"/>
  <c r="S41" i="1"/>
  <c r="S33" i="1"/>
  <c r="S35" i="1"/>
  <c r="O79" i="1"/>
  <c r="S79" i="1"/>
  <c r="AC5" i="1"/>
  <c r="AH5" i="1"/>
  <c r="Z7" i="1"/>
  <c r="Z39" i="1"/>
  <c r="Z31" i="1"/>
  <c r="Z26" i="1"/>
  <c r="Z24" i="1"/>
  <c r="Z22" i="1"/>
  <c r="Z19" i="1"/>
  <c r="Z16" i="1"/>
  <c r="Z15" i="1"/>
  <c r="Z12" i="1"/>
  <c r="Y81" i="1"/>
  <c r="Y71" i="1"/>
  <c r="Y11" i="1"/>
  <c r="Y9" i="1"/>
  <c r="Y7" i="1"/>
  <c r="Q72" i="1"/>
  <c r="S72" i="1"/>
  <c r="Q71" i="1"/>
  <c r="Q39" i="1"/>
  <c r="S39" i="1"/>
  <c r="S31" i="1"/>
  <c r="S81" i="1"/>
  <c r="S77" i="1"/>
  <c r="S76" i="1"/>
  <c r="S5" i="1"/>
  <c r="O71" i="1"/>
  <c r="S30" i="1"/>
  <c r="Q27" i="1"/>
  <c r="S27" i="1"/>
  <c r="Z25" i="1"/>
  <c r="Q25" i="1"/>
  <c r="S25" i="1"/>
  <c r="Z23" i="1"/>
  <c r="Q23" i="1"/>
  <c r="S23" i="1"/>
  <c r="Z28" i="1"/>
  <c r="Z21" i="1"/>
  <c r="Z20" i="1"/>
  <c r="Z18" i="1"/>
  <c r="Z17" i="1"/>
  <c r="Q21" i="1"/>
  <c r="S21" i="1"/>
  <c r="Y17" i="1"/>
  <c r="Q20" i="1"/>
  <c r="S20" i="1"/>
  <c r="Q18" i="1"/>
  <c r="S18" i="1"/>
  <c r="Q17" i="1"/>
  <c r="S17" i="1"/>
  <c r="U10" i="1"/>
  <c r="AC10" i="1"/>
  <c r="AH10" i="1"/>
  <c r="Q10" i="1"/>
  <c r="S10" i="1"/>
  <c r="P74" i="1"/>
  <c r="V74" i="1"/>
  <c r="N11" i="1"/>
  <c r="S7" i="1"/>
  <c r="S6" i="1"/>
  <c r="S12" i="1"/>
  <c r="S19" i="1"/>
  <c r="S16" i="1"/>
  <c r="S26" i="1"/>
  <c r="S22" i="1"/>
  <c r="S24" i="1"/>
  <c r="S9" i="1"/>
  <c r="S15" i="1"/>
  <c r="S40" i="1"/>
  <c r="S32" i="1"/>
  <c r="S36" i="1"/>
  <c r="S37" i="1"/>
  <c r="S45" i="1"/>
  <c r="S48" i="1"/>
  <c r="S49" i="1"/>
  <c r="S53" i="1"/>
  <c r="S54" i="1"/>
  <c r="S57" i="1"/>
  <c r="S61" i="1"/>
  <c r="S63" i="1"/>
  <c r="S64" i="1"/>
  <c r="S73" i="1"/>
  <c r="S82" i="1"/>
  <c r="N40" i="1"/>
  <c r="N6" i="1"/>
  <c r="N7" i="1"/>
  <c r="N9" i="1"/>
  <c r="N12" i="1"/>
  <c r="N15" i="1"/>
  <c r="N16" i="1"/>
  <c r="N17" i="1"/>
  <c r="N18" i="1"/>
  <c r="N20" i="1"/>
  <c r="N21" i="1"/>
  <c r="N22" i="1"/>
  <c r="N23" i="1"/>
  <c r="N24" i="1"/>
  <c r="N25" i="1"/>
  <c r="N26" i="1"/>
  <c r="N27" i="1"/>
  <c r="N30" i="1"/>
  <c r="N32" i="1"/>
  <c r="N33" i="1"/>
  <c r="N34" i="1"/>
  <c r="N35" i="1"/>
  <c r="N36" i="1"/>
  <c r="N37" i="1"/>
  <c r="N39" i="1"/>
  <c r="N41" i="1"/>
  <c r="N44" i="1"/>
  <c r="N45" i="1"/>
  <c r="N46" i="1"/>
  <c r="N47" i="1"/>
  <c r="N48" i="1"/>
  <c r="N49" i="1"/>
  <c r="N50" i="1"/>
  <c r="N51" i="1"/>
  <c r="N52" i="1"/>
  <c r="N53" i="1"/>
  <c r="N54" i="1"/>
  <c r="N57" i="1"/>
  <c r="N59" i="1"/>
  <c r="N63" i="1"/>
  <c r="N64" i="1"/>
  <c r="N67" i="1"/>
  <c r="N72" i="1"/>
  <c r="N75" i="1"/>
  <c r="N76" i="1"/>
  <c r="N77" i="1"/>
  <c r="N78" i="1"/>
  <c r="N80" i="1"/>
  <c r="N82" i="1"/>
  <c r="Y43" i="1"/>
  <c r="Y21" i="1"/>
  <c r="Y31" i="1"/>
  <c r="Y35" i="1"/>
  <c r="Y39" i="1"/>
  <c r="Y41" i="1"/>
  <c r="Y67" i="1"/>
  <c r="Y72" i="1"/>
  <c r="Y65" i="1"/>
  <c r="Y52" i="1"/>
  <c r="Y25" i="1"/>
  <c r="Y51" i="1"/>
  <c r="Y18" i="1"/>
  <c r="Y19" i="1"/>
  <c r="Y59" i="1"/>
  <c r="Y50" i="1"/>
  <c r="Y28" i="1"/>
  <c r="Y46" i="1"/>
  <c r="Y20" i="1"/>
  <c r="Y22" i="1"/>
  <c r="Y58" i="1"/>
  <c r="Y66" i="1"/>
  <c r="Y27" i="1"/>
  <c r="Y24" i="1"/>
  <c r="Y33" i="1"/>
  <c r="Y80" i="1"/>
  <c r="Y48" i="1"/>
  <c r="Y70" i="1"/>
  <c r="Y55" i="1"/>
  <c r="Y23" i="1"/>
  <c r="S66" i="1"/>
  <c r="S28" i="1"/>
  <c r="S65" i="1"/>
  <c r="S42" i="1"/>
  <c r="Y42" i="1"/>
  <c r="AC74" i="1"/>
  <c r="Z10" i="1"/>
  <c r="Z9" i="1"/>
  <c r="Z52" i="1"/>
  <c r="Z11" i="1"/>
  <c r="Z6" i="1"/>
  <c r="Z73" i="1"/>
  <c r="Z27" i="1"/>
  <c r="Y34" i="1"/>
  <c r="P17" i="10"/>
  <c r="AA55" i="10"/>
  <c r="Z12" i="10"/>
  <c r="AB12" i="10" s="1"/>
  <c r="AA12" i="10"/>
  <c r="AH55" i="10"/>
  <c r="AA36" i="10"/>
  <c r="AA69" i="10"/>
  <c r="Z14" i="10"/>
  <c r="AB14" i="10" s="1"/>
  <c r="Z59" i="10"/>
  <c r="AB59" i="10" s="1"/>
  <c r="AA66" i="10"/>
  <c r="Z70" i="10"/>
  <c r="AB70" i="10" s="1"/>
  <c r="AA56" i="10"/>
  <c r="AA32" i="10"/>
  <c r="AA79" i="10"/>
  <c r="AB69" i="10"/>
  <c r="Z32" i="10"/>
  <c r="AB32" i="10" s="1"/>
  <c r="Z56" i="10"/>
  <c r="AB56" i="10" s="1"/>
  <c r="AB68" i="10"/>
  <c r="AB33" i="10"/>
  <c r="AH51" i="10"/>
  <c r="AH29" i="1"/>
  <c r="E14" i="7"/>
  <c r="T74" i="1"/>
  <c r="Y10" i="1"/>
  <c r="T61" i="1"/>
  <c r="AH32" i="1"/>
  <c r="AH46" i="1"/>
  <c r="S14" i="1"/>
  <c r="F6" i="7"/>
  <c r="S71" i="1"/>
  <c r="AA59" i="10"/>
  <c r="AH66" i="10"/>
  <c r="AG47" i="1"/>
  <c r="AH74" i="1"/>
  <c r="Z74" i="1"/>
  <c r="Q52" i="1"/>
  <c r="S52" i="1"/>
  <c r="T68" i="1"/>
  <c r="Z61" i="1"/>
  <c r="AG60" i="1"/>
  <c r="N14" i="1"/>
  <c r="AH8" i="1"/>
  <c r="AH56" i="1"/>
  <c r="R14" i="1"/>
  <c r="T14" i="1"/>
  <c r="D14" i="7"/>
  <c r="AH75" i="10"/>
  <c r="R10" i="1"/>
  <c r="T10" i="1"/>
  <c r="P30" i="10"/>
  <c r="AG35" i="1"/>
  <c r="T73" i="1"/>
  <c r="U17" i="10"/>
  <c r="AH56" i="10"/>
  <c r="AH65" i="10"/>
  <c r="AH10" i="10"/>
  <c r="AJ10" i="10" s="1"/>
  <c r="L42" i="17" s="1"/>
  <c r="T19" i="23"/>
  <c r="K35" i="17"/>
  <c r="V64" i="10"/>
  <c r="AH53" i="10"/>
  <c r="AH78" i="10"/>
  <c r="Z67" i="10"/>
  <c r="AB67" i="10" s="1"/>
  <c r="AH57" i="10"/>
  <c r="AA67" i="10"/>
  <c r="AH60" i="10"/>
  <c r="X30" i="1"/>
  <c r="T30" i="1"/>
  <c r="Z68" i="1"/>
  <c r="AC68" i="1"/>
  <c r="AG84" i="10"/>
  <c r="AC61" i="1"/>
  <c r="AH68" i="1"/>
  <c r="AG68" i="1"/>
  <c r="AH61" i="1"/>
  <c r="AG61" i="1"/>
  <c r="AE30" i="1"/>
  <c r="Z30" i="1"/>
  <c r="AG30" i="1"/>
  <c r="AH30" i="1"/>
  <c r="V58" i="10" l="1"/>
  <c r="AF42" i="10"/>
  <c r="AG42" i="10" s="1"/>
  <c r="P58" i="10"/>
  <c r="AH48" i="10"/>
  <c r="AB58" i="10"/>
  <c r="AA9" i="10"/>
  <c r="Z9" i="10"/>
  <c r="AB9" i="10" s="1"/>
  <c r="AI47" i="10"/>
  <c r="AJ47" i="10" s="1"/>
  <c r="L29" i="17" s="1"/>
  <c r="O29" i="17" s="1"/>
  <c r="AB73" i="10"/>
  <c r="Z81" i="10"/>
  <c r="AB81" i="10" s="1"/>
  <c r="AG13" i="10"/>
  <c r="K59" i="17" s="1"/>
  <c r="AA81" i="10"/>
  <c r="AD33" i="10"/>
  <c r="AH33" i="10" s="1"/>
  <c r="AI33" i="10"/>
  <c r="AJ33" i="10" s="1"/>
  <c r="L60" i="17" s="1"/>
  <c r="AH12" i="10"/>
  <c r="AJ12" i="10" s="1"/>
  <c r="T12" i="23" s="1"/>
  <c r="O47" i="17"/>
  <c r="V13" i="10"/>
  <c r="AI84" i="10"/>
  <c r="AJ84" i="10" s="1"/>
  <c r="L69" i="17" s="1"/>
  <c r="O69" i="17" s="1"/>
  <c r="AH41" i="10"/>
  <c r="AI77" i="10"/>
  <c r="AJ77" i="10" s="1"/>
  <c r="L35" i="17" s="1"/>
  <c r="AH32" i="10"/>
  <c r="V80" i="10"/>
  <c r="AI75" i="10"/>
  <c r="AJ75" i="10" s="1"/>
  <c r="T5" i="23" s="1"/>
  <c r="X13" i="10"/>
  <c r="AE13" i="10" s="1"/>
  <c r="AI56" i="10"/>
  <c r="AJ56" i="10" s="1"/>
  <c r="L84" i="17" s="1"/>
  <c r="AB66" i="10"/>
  <c r="AG81" i="10"/>
  <c r="K63" i="17" s="1"/>
  <c r="AH81" i="10"/>
  <c r="AH22" i="10"/>
  <c r="AI74" i="10"/>
  <c r="AJ74" i="10" s="1"/>
  <c r="L71" i="17" s="1"/>
  <c r="AI44" i="10"/>
  <c r="AJ44" i="10" s="1"/>
  <c r="L26" i="17" s="1"/>
  <c r="AH44" i="10"/>
  <c r="AG24" i="10"/>
  <c r="AI24" i="10" s="1"/>
  <c r="AJ24" i="10" s="1"/>
  <c r="L46" i="17" s="1"/>
  <c r="AI8" i="10"/>
  <c r="AI51" i="10"/>
  <c r="AJ51" i="10" s="1"/>
  <c r="L85" i="17" s="1"/>
  <c r="AH79" i="10"/>
  <c r="V63" i="10"/>
  <c r="AH62" i="10"/>
  <c r="U74" i="10"/>
  <c r="V71" i="10"/>
  <c r="T11" i="23"/>
  <c r="K36" i="17"/>
  <c r="AI79" i="10"/>
  <c r="AJ79" i="10" s="1"/>
  <c r="L36" i="17" s="1"/>
  <c r="V82" i="10"/>
  <c r="AI65" i="10"/>
  <c r="AJ65" i="10" s="1"/>
  <c r="L98" i="17" s="1"/>
  <c r="O98" i="17" s="1"/>
  <c r="AH42" i="10"/>
  <c r="AI52" i="10"/>
  <c r="AJ52" i="10" s="1"/>
  <c r="L106" i="17" s="1"/>
  <c r="AH83" i="10"/>
  <c r="AG83" i="10"/>
  <c r="K68" i="17" s="1"/>
  <c r="AI22" i="10"/>
  <c r="AJ22" i="10" s="1"/>
  <c r="L50" i="17" s="1"/>
  <c r="K50" i="17"/>
  <c r="AG63" i="10"/>
  <c r="AH63" i="10"/>
  <c r="K85" i="17"/>
  <c r="AH58" i="10"/>
  <c r="AH15" i="10"/>
  <c r="AH19" i="10"/>
  <c r="AG31" i="10"/>
  <c r="K43" i="17" s="1"/>
  <c r="AH70" i="10"/>
  <c r="AI53" i="10"/>
  <c r="AJ53" i="10" s="1"/>
  <c r="T24" i="23" s="1"/>
  <c r="O52" i="17"/>
  <c r="O30" i="17"/>
  <c r="K96" i="17"/>
  <c r="AI70" i="10"/>
  <c r="AJ70" i="10" s="1"/>
  <c r="L96" i="17" s="1"/>
  <c r="AI58" i="10"/>
  <c r="AJ58" i="10" s="1"/>
  <c r="L89" i="17" s="1"/>
  <c r="K89" i="17"/>
  <c r="AI19" i="10"/>
  <c r="AJ19" i="10" s="1"/>
  <c r="K49" i="17"/>
  <c r="K51" i="17"/>
  <c r="AI29" i="10"/>
  <c r="AJ29" i="10" s="1"/>
  <c r="L51" i="17" s="1"/>
  <c r="K53" i="17"/>
  <c r="AI25" i="10"/>
  <c r="AJ25" i="10" s="1"/>
  <c r="L53" i="17" s="1"/>
  <c r="O53" i="17" s="1"/>
  <c r="AG67" i="10"/>
  <c r="AH67" i="10"/>
  <c r="AI66" i="10"/>
  <c r="AJ66" i="10" s="1"/>
  <c r="L79" i="17" s="1"/>
  <c r="K79" i="17"/>
  <c r="AG27" i="10"/>
  <c r="AH27" i="10"/>
  <c r="AE17" i="10"/>
  <c r="AI17" i="10" s="1"/>
  <c r="AJ17" i="10" s="1"/>
  <c r="T18" i="23" s="1"/>
  <c r="AB17" i="10"/>
  <c r="K25" i="17"/>
  <c r="AI42" i="10"/>
  <c r="AJ42" i="10" s="1"/>
  <c r="L25" i="17" s="1"/>
  <c r="AI20" i="10"/>
  <c r="AJ20" i="10" s="1"/>
  <c r="L40" i="17" s="1"/>
  <c r="AF85" i="10"/>
  <c r="AH25" i="10"/>
  <c r="AI38" i="10"/>
  <c r="AJ38" i="10" s="1"/>
  <c r="K84" i="17"/>
  <c r="AI50" i="10"/>
  <c r="AJ50" i="10" s="1"/>
  <c r="AG28" i="10"/>
  <c r="K44" i="17" s="1"/>
  <c r="AH29" i="10"/>
  <c r="AE18" i="10"/>
  <c r="AH36" i="10"/>
  <c r="AI78" i="10"/>
  <c r="AJ78" i="10" s="1"/>
  <c r="T17" i="23" s="1"/>
  <c r="O81" i="17"/>
  <c r="O39" i="17"/>
  <c r="AG59" i="10"/>
  <c r="AI59" i="10" s="1"/>
  <c r="AJ59" i="10" s="1"/>
  <c r="AH21" i="10"/>
  <c r="AG34" i="10"/>
  <c r="K69" i="17"/>
  <c r="V17" i="10"/>
  <c r="X76" i="10"/>
  <c r="AB76" i="10" s="1"/>
  <c r="Z85" i="10"/>
  <c r="AB85" i="10" s="1"/>
  <c r="Z63" i="10"/>
  <c r="AB63" i="10" s="1"/>
  <c r="AI43" i="10"/>
  <c r="AJ43" i="10" s="1"/>
  <c r="L19" i="17" s="1"/>
  <c r="O19" i="17" s="1"/>
  <c r="AI48" i="10"/>
  <c r="AJ48" i="10" s="1"/>
  <c r="L21" i="17" s="1"/>
  <c r="O21" i="17" s="1"/>
  <c r="AA27" i="10"/>
  <c r="AA63" i="10"/>
  <c r="O22" i="17"/>
  <c r="AI63" i="10"/>
  <c r="AJ63" i="10" s="1"/>
  <c r="L94" i="17" s="1"/>
  <c r="K94" i="17"/>
  <c r="AI21" i="10"/>
  <c r="AJ21" i="10" s="1"/>
  <c r="L45" i="17" s="1"/>
  <c r="K45" i="17"/>
  <c r="K31" i="17"/>
  <c r="AI41" i="10"/>
  <c r="AJ41" i="10" s="1"/>
  <c r="L31" i="17" s="1"/>
  <c r="K93" i="17"/>
  <c r="AI73" i="10"/>
  <c r="AJ73" i="10" s="1"/>
  <c r="L93" i="17" s="1"/>
  <c r="AH61" i="10"/>
  <c r="AG61" i="10"/>
  <c r="AI11" i="10"/>
  <c r="V45" i="10"/>
  <c r="X45" i="10"/>
  <c r="AE45" i="10" s="1"/>
  <c r="T10" i="23"/>
  <c r="L55" i="17"/>
  <c r="AH14" i="10"/>
  <c r="AG14" i="10"/>
  <c r="AI12" i="10"/>
  <c r="K48" i="17"/>
  <c r="AH9" i="10"/>
  <c r="AJ9" i="10" s="1"/>
  <c r="AG9" i="10"/>
  <c r="AH69" i="10"/>
  <c r="AG69" i="10"/>
  <c r="AG45" i="10"/>
  <c r="AI26" i="10"/>
  <c r="AJ26" i="10" s="1"/>
  <c r="L58" i="17" s="1"/>
  <c r="K58" i="17"/>
  <c r="AI15" i="10"/>
  <c r="AJ15" i="10" s="1"/>
  <c r="L66" i="17" s="1"/>
  <c r="K66" i="17"/>
  <c r="K95" i="17"/>
  <c r="AI55" i="10"/>
  <c r="AJ55" i="10" s="1"/>
  <c r="L95" i="17" s="1"/>
  <c r="AH68" i="10"/>
  <c r="AG68" i="10"/>
  <c r="O42" i="17"/>
  <c r="L48" i="17"/>
  <c r="O62" i="17"/>
  <c r="AI10" i="10"/>
  <c r="K42" i="17"/>
  <c r="AB80" i="10"/>
  <c r="AI62" i="10"/>
  <c r="AJ62" i="10" s="1"/>
  <c r="L86" i="17" s="1"/>
  <c r="K86" i="17"/>
  <c r="AG82" i="10"/>
  <c r="AB82" i="10"/>
  <c r="AB71" i="10"/>
  <c r="AE71" i="10"/>
  <c r="AB64" i="10"/>
  <c r="AG64" i="10"/>
  <c r="K91" i="17"/>
  <c r="AI60" i="10"/>
  <c r="K82" i="17"/>
  <c r="AI32" i="10"/>
  <c r="AJ32" i="10" s="1"/>
  <c r="O34" i="17"/>
  <c r="AI36" i="10"/>
  <c r="AJ36" i="10" s="1"/>
  <c r="K27" i="17"/>
  <c r="AI57" i="10"/>
  <c r="AJ57" i="10" s="1"/>
  <c r="K88" i="17"/>
  <c r="O78" i="17"/>
  <c r="K67" i="17"/>
  <c r="AI76" i="10"/>
  <c r="AJ76" i="10" s="1"/>
  <c r="K38" i="17"/>
  <c r="AI30" i="10"/>
  <c r="AJ30" i="10" s="1"/>
  <c r="L38" i="17" s="1"/>
  <c r="Z46" i="10"/>
  <c r="AA46" i="10"/>
  <c r="T23" i="23" l="1"/>
  <c r="O35" i="17"/>
  <c r="AI31" i="10"/>
  <c r="AJ31" i="10" s="1"/>
  <c r="L43" i="17" s="1"/>
  <c r="AI13" i="10"/>
  <c r="AJ13" i="10" s="1"/>
  <c r="L59" i="17" s="1"/>
  <c r="O59" i="17" s="1"/>
  <c r="O26" i="17"/>
  <c r="AI81" i="10"/>
  <c r="AJ81" i="10" s="1"/>
  <c r="L63" i="17" s="1"/>
  <c r="O63" i="17" s="1"/>
  <c r="K92" i="17"/>
  <c r="AI71" i="10"/>
  <c r="AJ71" i="10" s="1"/>
  <c r="L82" i="17" s="1"/>
  <c r="O84" i="17"/>
  <c r="AJ60" i="10"/>
  <c r="L91" i="17" s="1"/>
  <c r="O46" i="17"/>
  <c r="L37" i="17"/>
  <c r="O37" i="17" s="1"/>
  <c r="L72" i="17"/>
  <c r="T14" i="23"/>
  <c r="AB13" i="10"/>
  <c r="O85" i="17"/>
  <c r="AI83" i="10"/>
  <c r="AJ83" i="10" s="1"/>
  <c r="L68" i="17" s="1"/>
  <c r="O71" i="17"/>
  <c r="K46" i="17"/>
  <c r="O50" i="17"/>
  <c r="L64" i="17"/>
  <c r="O64" i="17" s="1"/>
  <c r="O36" i="17"/>
  <c r="O106" i="17"/>
  <c r="O107" i="17" s="1"/>
  <c r="O79" i="17"/>
  <c r="L100" i="17"/>
  <c r="O40" i="17"/>
  <c r="O60" i="17"/>
  <c r="T8" i="23"/>
  <c r="L33" i="17"/>
  <c r="AI67" i="10"/>
  <c r="AJ67" i="10" s="1"/>
  <c r="L83" i="17" s="1"/>
  <c r="K83" i="17"/>
  <c r="T7" i="23"/>
  <c r="L32" i="17"/>
  <c r="AI28" i="10"/>
  <c r="AJ28" i="10" s="1"/>
  <c r="L44" i="17" s="1"/>
  <c r="O51" i="17"/>
  <c r="AG85" i="10"/>
  <c r="AH85" i="10"/>
  <c r="AI27" i="10"/>
  <c r="AJ27" i="10" s="1"/>
  <c r="L57" i="17" s="1"/>
  <c r="K57" i="17"/>
  <c r="AI34" i="10"/>
  <c r="AJ34" i="10" s="1"/>
  <c r="L54" i="17" s="1"/>
  <c r="K54" i="17"/>
  <c r="O25" i="17"/>
  <c r="T15" i="23"/>
  <c r="L49" i="17"/>
  <c r="L67" i="17"/>
  <c r="T16" i="23"/>
  <c r="L88" i="17"/>
  <c r="T22" i="23"/>
  <c r="AF46" i="10"/>
  <c r="AB46" i="10"/>
  <c r="O86" i="17"/>
  <c r="O38" i="17"/>
  <c r="T6" i="23"/>
  <c r="L27" i="17"/>
  <c r="O48" i="17"/>
  <c r="L92" i="17"/>
  <c r="T21" i="23"/>
  <c r="AI69" i="10"/>
  <c r="AJ69" i="10" s="1"/>
  <c r="K87" i="17"/>
  <c r="O55" i="17"/>
  <c r="O45" i="17"/>
  <c r="T13" i="23"/>
  <c r="L41" i="17"/>
  <c r="AI64" i="10"/>
  <c r="AJ64" i="10" s="1"/>
  <c r="L99" i="17" s="1"/>
  <c r="K99" i="17"/>
  <c r="AI80" i="10"/>
  <c r="AJ80" i="10" s="1"/>
  <c r="L61" i="17" s="1"/>
  <c r="K61" i="17"/>
  <c r="O58" i="17"/>
  <c r="AI61" i="10"/>
  <c r="AJ61" i="10" s="1"/>
  <c r="L90" i="17" s="1"/>
  <c r="K90" i="17"/>
  <c r="AI68" i="10"/>
  <c r="AJ68" i="10" s="1"/>
  <c r="L80" i="17" s="1"/>
  <c r="K80" i="17"/>
  <c r="O95" i="17"/>
  <c r="AI9" i="10"/>
  <c r="K56" i="17"/>
  <c r="O94" i="17"/>
  <c r="AB45" i="10"/>
  <c r="T9" i="23"/>
  <c r="L56" i="17"/>
  <c r="O93" i="17"/>
  <c r="K23" i="17"/>
  <c r="AI45" i="10"/>
  <c r="AJ45" i="10" s="1"/>
  <c r="L23" i="17" s="1"/>
  <c r="K97" i="17"/>
  <c r="AI82" i="10"/>
  <c r="AJ82" i="10" s="1"/>
  <c r="L97" i="17" s="1"/>
  <c r="O66" i="17"/>
  <c r="O31" i="17"/>
  <c r="O89" i="17"/>
  <c r="AI14" i="10"/>
  <c r="AJ14" i="10" s="1"/>
  <c r="L65" i="17" s="1"/>
  <c r="K65" i="17"/>
  <c r="O43" i="17" l="1"/>
  <c r="O82" i="17"/>
  <c r="O91" i="17"/>
  <c r="O68" i="17"/>
  <c r="O72" i="17"/>
  <c r="O100" i="17"/>
  <c r="O57" i="17"/>
  <c r="O49" i="17"/>
  <c r="AI85" i="10"/>
  <c r="AJ85" i="10" s="1"/>
  <c r="L70" i="17" s="1"/>
  <c r="K70" i="17"/>
  <c r="O83" i="17"/>
  <c r="O33" i="17"/>
  <c r="O54" i="17"/>
  <c r="O44" i="17"/>
  <c r="O32" i="17"/>
  <c r="O92" i="17"/>
  <c r="O90" i="17"/>
  <c r="O65" i="17"/>
  <c r="O97" i="17"/>
  <c r="O56" i="17"/>
  <c r="O61" i="17"/>
  <c r="O27" i="17"/>
  <c r="AG46" i="10"/>
  <c r="AH46" i="10"/>
  <c r="O23" i="17"/>
  <c r="O80" i="17"/>
  <c r="O88" i="17"/>
  <c r="O99" i="17"/>
  <c r="O41" i="17"/>
  <c r="L87" i="17"/>
  <c r="T20" i="23"/>
  <c r="O67" i="17"/>
  <c r="O70" i="17" l="1"/>
  <c r="O87" i="17"/>
  <c r="O101" i="17" s="1"/>
  <c r="AI46" i="10"/>
  <c r="AJ46" i="10" s="1"/>
  <c r="L24" i="17" s="1"/>
  <c r="K24" i="17"/>
  <c r="O24" i="17" l="1"/>
  <c r="O109" i="17" l="1"/>
  <c r="O73"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Sonia Esperanza Casas Merchan</author>
    <author>SoniaCasas</author>
  </authors>
  <commentList>
    <comment ref="J10" authorId="0" shapeId="0" xr:uid="{00000000-0006-0000-0400-000001000000}">
      <text>
        <r>
          <rPr>
            <b/>
            <sz val="9"/>
            <color indexed="81"/>
            <rFont val="Tahoma"/>
            <family val="2"/>
          </rPr>
          <t>Sonia Esperanza Casas Merchan:</t>
        </r>
        <r>
          <rPr>
            <sz val="9"/>
            <color indexed="81"/>
            <rFont val="Tahoma"/>
            <family val="2"/>
          </rPr>
          <t xml:space="preserve">
era de capacidad y lo cambiaron a flujo</t>
        </r>
      </text>
    </comment>
    <comment ref="J14" authorId="0" shapeId="0" xr:uid="{00000000-0006-0000-0400-000002000000}">
      <text>
        <r>
          <rPr>
            <b/>
            <sz val="9"/>
            <color indexed="81"/>
            <rFont val="Tahoma"/>
            <family val="2"/>
          </rPr>
          <t>Sonia Esperanza Casas Merchan:</t>
        </r>
        <r>
          <rPr>
            <sz val="9"/>
            <color indexed="81"/>
            <rFont val="Tahoma"/>
            <family val="2"/>
          </rPr>
          <t xml:space="preserve">
era de capacidad y lo cambiaron a flujo</t>
        </r>
      </text>
    </comment>
    <comment ref="Y14" authorId="0" shapeId="0" xr:uid="{2491C5D8-7167-42A7-BCD4-DF12F3FB6C48}">
      <text>
        <r>
          <rPr>
            <b/>
            <sz val="9"/>
            <color indexed="81"/>
            <rFont val="Tahoma"/>
            <family val="2"/>
          </rPr>
          <t>Sonia Esperanza Casas Merchan:</t>
        </r>
        <r>
          <rPr>
            <sz val="9"/>
            <color indexed="81"/>
            <rFont val="Tahoma"/>
            <family val="2"/>
          </rPr>
          <t xml:space="preserve">
ERA 34,36% PRELIMINAR; EL ÁREA SOLICITA AJUSTAR A 35,5% DATO DEFINITIVO- AJUSTADO OK</t>
        </r>
      </text>
    </comment>
    <comment ref="J15" authorId="0" shapeId="0" xr:uid="{00000000-0006-0000-0400-000004000000}">
      <text>
        <r>
          <rPr>
            <b/>
            <sz val="9"/>
            <color indexed="81"/>
            <rFont val="Tahoma"/>
            <family val="2"/>
          </rPr>
          <t>Sonia Esperanza Casas Merchan:</t>
        </r>
        <r>
          <rPr>
            <sz val="9"/>
            <color indexed="81"/>
            <rFont val="Tahoma"/>
            <family val="2"/>
          </rPr>
          <t xml:space="preserve">
DEBERÍA SER DE FLUJO</t>
        </r>
      </text>
    </comment>
    <comment ref="N16" authorId="0" shapeId="0" xr:uid="{00000000-0006-0000-0400-000005000000}">
      <text>
        <r>
          <rPr>
            <b/>
            <sz val="9"/>
            <color indexed="81"/>
            <rFont val="Tahoma"/>
            <family val="2"/>
          </rPr>
          <t>Sonia Esperanza Casas Merchan:</t>
        </r>
        <r>
          <rPr>
            <sz val="9"/>
            <color indexed="81"/>
            <rFont val="Tahoma"/>
            <family val="2"/>
          </rPr>
          <t xml:space="preserve">
Se había solicitado ajuste a 5,59% en el oficio No. 1, pero no se viabilizó sino solo para 2016. queda inconsistente la serie.</t>
        </r>
      </text>
    </comment>
    <comment ref="J17" authorId="0" shapeId="0" xr:uid="{00000000-0006-0000-0400-000006000000}">
      <text>
        <r>
          <rPr>
            <b/>
            <sz val="9"/>
            <color indexed="81"/>
            <rFont val="Tahoma"/>
            <family val="2"/>
          </rPr>
          <t>En el oficio No. 1 se solicitó ajuste a acumulado, a lo que responde que es inviable; queda como flujo</t>
        </r>
      </text>
    </comment>
    <comment ref="L17" authorId="0" shapeId="0" xr:uid="{00000000-0006-0000-0400-000007000000}">
      <text>
        <r>
          <rPr>
            <b/>
            <sz val="9"/>
            <color indexed="81"/>
            <rFont val="Tahoma"/>
            <family val="2"/>
          </rPr>
          <t>Sonia Esperanza Casas Merchan:</t>
        </r>
        <r>
          <rPr>
            <sz val="9"/>
            <color indexed="81"/>
            <rFont val="Tahoma"/>
            <family val="2"/>
          </rPr>
          <t xml:space="preserve">
suma la LB</t>
        </r>
      </text>
    </comment>
    <comment ref="L18" authorId="0" shapeId="0" xr:uid="{00000000-0006-0000-0400-000008000000}">
      <text>
        <r>
          <rPr>
            <b/>
            <sz val="9"/>
            <color indexed="81"/>
            <rFont val="Tahoma"/>
            <family val="2"/>
          </rPr>
          <t>Sonia Esperanza Casas Merchan:</t>
        </r>
        <r>
          <rPr>
            <sz val="9"/>
            <color indexed="81"/>
            <rFont val="Tahoma"/>
            <family val="2"/>
          </rPr>
          <t xml:space="preserve">
La MC inicial es del 86,31%, se solicitó reducción, fue aprobada por DNP en 2015 y aplicada en SINERGIA</t>
        </r>
      </text>
    </comment>
    <comment ref="M18" authorId="0" shapeId="0" xr:uid="{00000000-0006-0000-0400-000009000000}">
      <text>
        <r>
          <rPr>
            <b/>
            <sz val="9"/>
            <color indexed="81"/>
            <rFont val="Tahoma"/>
            <family val="2"/>
          </rPr>
          <t>Sonia Esperanza Casas Merchan:</t>
        </r>
        <r>
          <rPr>
            <sz val="9"/>
            <color indexed="81"/>
            <rFont val="Tahoma"/>
            <family val="2"/>
          </rPr>
          <t xml:space="preserve">
La LB inicial era de 71,7% y se solicitó ajustar a 71,47%, aprobado por DNP en 2015 y aplicado en SINERGIA</t>
        </r>
      </text>
    </comment>
    <comment ref="N18" authorId="0" shapeId="0" xr:uid="{00000000-0006-0000-0400-00000A000000}">
      <text>
        <r>
          <rPr>
            <b/>
            <sz val="9"/>
            <color indexed="81"/>
            <rFont val="Tahoma"/>
            <family val="2"/>
          </rPr>
          <t>Sonia Esperanza Casas Merchan:</t>
        </r>
        <r>
          <rPr>
            <sz val="9"/>
            <color indexed="81"/>
            <rFont val="Tahoma"/>
            <family val="2"/>
          </rPr>
          <t xml:space="preserve">
En SINERGIA no había dato; ya lo incluyeron</t>
        </r>
      </text>
    </comment>
    <comment ref="Q18" authorId="0" shapeId="0" xr:uid="{00000000-0006-0000-0400-00000B000000}">
      <text>
        <r>
          <rPr>
            <b/>
            <sz val="9"/>
            <color indexed="81"/>
            <rFont val="Tahoma"/>
            <family val="2"/>
          </rPr>
          <t>Sonia Esperanza Casas Merchan:</t>
        </r>
        <r>
          <rPr>
            <sz val="9"/>
            <color indexed="81"/>
            <rFont val="Tahoma"/>
            <family val="2"/>
          </rPr>
          <t xml:space="preserve">
En SINERGIA no había dato; ya lo incluyeron</t>
        </r>
      </text>
    </comment>
    <comment ref="W18" authorId="0" shapeId="0" xr:uid="{00000000-0006-0000-0400-00000C000000}">
      <text>
        <r>
          <rPr>
            <b/>
            <sz val="9"/>
            <color indexed="81"/>
            <rFont val="Tahoma"/>
            <family val="2"/>
          </rPr>
          <t>Sonia Esperanza Casas Merchan:</t>
        </r>
        <r>
          <rPr>
            <sz val="9"/>
            <color indexed="81"/>
            <rFont val="Tahoma"/>
            <family val="2"/>
          </rPr>
          <t xml:space="preserve">
En SINERGIA no había dato; ya lo incluyeron</t>
        </r>
      </text>
    </comment>
    <comment ref="AD18" authorId="0" shapeId="0" xr:uid="{00000000-0006-0000-0400-00000D000000}">
      <text>
        <r>
          <rPr>
            <b/>
            <sz val="9"/>
            <color indexed="81"/>
            <rFont val="Tahoma"/>
            <family val="2"/>
          </rPr>
          <t>Sonia Esperanza Casas Merchan:</t>
        </r>
        <r>
          <rPr>
            <sz val="9"/>
            <color indexed="81"/>
            <rFont val="Tahoma"/>
            <family val="2"/>
          </rPr>
          <t xml:space="preserve">
En SINERGIA no había dato; ya lo incluyeron, pero no es lo ajustado</t>
        </r>
      </text>
    </comment>
    <comment ref="C19" authorId="0" shapeId="0" xr:uid="{00000000-0006-0000-0400-00000E000000}">
      <text>
        <r>
          <rPr>
            <b/>
            <sz val="9"/>
            <color indexed="81"/>
            <rFont val="Tahoma"/>
            <family val="2"/>
          </rPr>
          <t>DNP conceptuó como INVIABLE solicitud de ajustes mediante oficio 20183600279821 del 04/05/18</t>
        </r>
      </text>
    </comment>
    <comment ref="L19" authorId="0" shapeId="0" xr:uid="{00000000-0006-0000-0400-00000F000000}">
      <text>
        <r>
          <rPr>
            <b/>
            <sz val="9"/>
            <color indexed="81"/>
            <rFont val="Tahoma"/>
            <family val="2"/>
          </rPr>
          <t>Sonia Esperanza Casas Merchan:</t>
        </r>
        <r>
          <rPr>
            <sz val="9"/>
            <color indexed="81"/>
            <rFont val="Tahoma"/>
            <family val="2"/>
          </rPr>
          <t xml:space="preserve">
La MC inicial es de 84,33%; se solicitó reducción a 71,13% con justificación técnica, fue autorizada inicialmente por DNP; pero en oficio 20183600279821 del 4/05/18 informan que es inviable; queda meta inconsistente</t>
        </r>
      </text>
    </comment>
    <comment ref="M19" authorId="0" shapeId="0" xr:uid="{00000000-0006-0000-0400-000010000000}">
      <text>
        <r>
          <rPr>
            <b/>
            <sz val="9"/>
            <color indexed="81"/>
            <rFont val="Tahoma"/>
            <family val="2"/>
          </rPr>
          <t>Sonia Esperanza Casas Merchan:</t>
        </r>
        <r>
          <rPr>
            <sz val="9"/>
            <color indexed="81"/>
            <rFont val="Tahoma"/>
            <family val="2"/>
          </rPr>
          <t xml:space="preserve">
La LB inicial era de 73% y se solicitó ajuste a 60,74% aprobado inicialmente por DNP en 2015; mediante oficio 20183600279821 del 04/05 responden que es inviable; por lo que queda inconsistente</t>
        </r>
      </text>
    </comment>
    <comment ref="N19" authorId="0" shapeId="0" xr:uid="{00000000-0006-0000-0400-000011000000}">
      <text>
        <r>
          <rPr>
            <b/>
            <sz val="9"/>
            <color indexed="81"/>
            <rFont val="Tahoma"/>
            <family val="2"/>
          </rPr>
          <t>Sonia Esperanza Casas Merchan:</t>
        </r>
        <r>
          <rPr>
            <sz val="9"/>
            <color indexed="81"/>
            <rFont val="Tahoma"/>
            <family val="2"/>
          </rPr>
          <t xml:space="preserve">
En SINERGIA aparece 77,54%; se solicitó la reducción en oficio No. 1 a  70,70%. Mediante oficio 20183600279821 del 04/05 DNP responde que es inviable y queda como estaba inicialmente.</t>
        </r>
      </text>
    </comment>
    <comment ref="Q19" authorId="0" shapeId="0" xr:uid="{00000000-0006-0000-0400-000012000000}">
      <text>
        <r>
          <rPr>
            <b/>
            <sz val="9"/>
            <color indexed="81"/>
            <rFont val="Tahoma"/>
            <family val="2"/>
          </rPr>
          <t>Sonia Esperanza Casas Merchan:</t>
        </r>
        <r>
          <rPr>
            <sz val="9"/>
            <color indexed="81"/>
            <rFont val="Tahoma"/>
            <family val="2"/>
          </rPr>
          <t xml:space="preserve">
La LB inicial era de 79,80%, Se solicitó reajuste a 70,50% inicialmente aprobado por DNP; mediante oficio 20183600279821 del 04/05 responden que es inviable y no se ajustan los cambios</t>
        </r>
      </text>
    </comment>
    <comment ref="W19" authorId="0" shapeId="0" xr:uid="{00000000-0006-0000-0400-000013000000}">
      <text>
        <r>
          <rPr>
            <b/>
            <sz val="9"/>
            <color indexed="81"/>
            <rFont val="Tahoma"/>
            <family val="2"/>
          </rPr>
          <t>Sonia Esperanza Casas Merchan:</t>
        </r>
        <r>
          <rPr>
            <sz val="9"/>
            <color indexed="81"/>
            <rFont val="Tahoma"/>
            <family val="2"/>
          </rPr>
          <t xml:space="preserve">
En SINERGIA aparece como 82,07%, se solicitó la reducción de la MC y anuales  a 70,93%; no obstante, mediante oficio 20183600279821 del 04/05 se responde que es INVIABLE el cambio; queda con datos iniciales</t>
        </r>
      </text>
    </comment>
    <comment ref="AD19" authorId="0" shapeId="0" xr:uid="{00000000-0006-0000-0400-000014000000}">
      <text>
        <r>
          <rPr>
            <b/>
            <sz val="9"/>
            <color indexed="81"/>
            <rFont val="Tahoma"/>
            <family val="2"/>
          </rPr>
          <t>Sonia Esperanza Casas Merchan:</t>
        </r>
        <r>
          <rPr>
            <sz val="9"/>
            <color indexed="81"/>
            <rFont val="Tahoma"/>
            <family val="2"/>
          </rPr>
          <t xml:space="preserve">
la meta inicial era 84,33% se solicitó ajuste a 71,13%, pero el DNP mediante oficio 20183600279821 del 04/05 responde que es INVIABLE el ajuste; por tanto queda con los datos iniciales</t>
        </r>
      </text>
    </comment>
    <comment ref="L20" authorId="0" shapeId="0" xr:uid="{00000000-0006-0000-0400-000015000000}">
      <text>
        <r>
          <rPr>
            <b/>
            <sz val="9"/>
            <color indexed="81"/>
            <rFont val="Tahoma"/>
            <family val="2"/>
          </rPr>
          <t>Sonia Esperanza Casas Merchan:</t>
        </r>
        <r>
          <rPr>
            <sz val="9"/>
            <color indexed="81"/>
            <rFont val="Tahoma"/>
            <family val="2"/>
          </rPr>
          <t xml:space="preserve">
Esta meta tiene solicitud de ajuste  de 135.694 a 113.658, aprobada por DNP  en 2015 y pendiente por aplicar.</t>
        </r>
      </text>
    </comment>
    <comment ref="N20" authorId="0" shapeId="0" xr:uid="{00000000-0006-0000-0400-000016000000}">
      <text>
        <r>
          <rPr>
            <b/>
            <sz val="9"/>
            <color indexed="81"/>
            <rFont val="Tahoma"/>
            <family val="2"/>
          </rPr>
          <t>Sonia Esperanza Casas Merchan:</t>
        </r>
        <r>
          <rPr>
            <sz val="9"/>
            <color indexed="81"/>
            <rFont val="Tahoma"/>
            <family val="2"/>
          </rPr>
          <t xml:space="preserve">
En SINERGIA aparece como 120.180, pero al aprobarse la reducción, debe ajustarse a 110.658</t>
        </r>
      </text>
    </comment>
    <comment ref="Q20" authorId="0" shapeId="0" xr:uid="{00000000-0006-0000-0400-000017000000}">
      <text>
        <r>
          <rPr>
            <b/>
            <sz val="9"/>
            <color indexed="81"/>
            <rFont val="Tahoma"/>
            <family val="2"/>
          </rPr>
          <t>Sonia Esperanza Casas Merchan:</t>
        </r>
        <r>
          <rPr>
            <sz val="9"/>
            <color indexed="81"/>
            <rFont val="Tahoma"/>
            <family val="2"/>
          </rPr>
          <t xml:space="preserve">
En SINERGIA aparece como 125.441, pero al aprobarse la reducción se ajusta la meta a 111.658</t>
        </r>
      </text>
    </comment>
    <comment ref="W20" authorId="0" shapeId="0" xr:uid="{00000000-0006-0000-0400-000018000000}">
      <text>
        <r>
          <rPr>
            <b/>
            <sz val="9"/>
            <color indexed="81"/>
            <rFont val="Tahoma"/>
            <family val="2"/>
          </rPr>
          <t>Sonia Esperanza Casas Merchan:</t>
        </r>
        <r>
          <rPr>
            <sz val="9"/>
            <color indexed="81"/>
            <rFont val="Tahoma"/>
            <family val="2"/>
          </rPr>
          <t xml:space="preserve">
En SINERGIA aparece como 130.703, pero al aprobarse la reducción de MC se ajusta a 112.658</t>
        </r>
      </text>
    </comment>
    <comment ref="AD20" authorId="0" shapeId="0" xr:uid="{00000000-0006-0000-0400-000019000000}">
      <text>
        <r>
          <rPr>
            <b/>
            <sz val="9"/>
            <color indexed="81"/>
            <rFont val="Tahoma"/>
            <family val="2"/>
          </rPr>
          <t>Sonia Esperanza Casas Merchan:</t>
        </r>
        <r>
          <rPr>
            <sz val="9"/>
            <color indexed="81"/>
            <rFont val="Tahoma"/>
            <family val="2"/>
          </rPr>
          <t xml:space="preserve">
La M2018 está en 135.964 en SINERGIA; con el ajuste pasaría a 113.658</t>
        </r>
      </text>
    </comment>
    <comment ref="J21" authorId="0" shapeId="0" xr:uid="{00000000-0006-0000-0400-00001A000000}">
      <text>
        <r>
          <rPr>
            <b/>
            <sz val="9"/>
            <color indexed="81"/>
            <rFont val="Tahoma"/>
            <family val="2"/>
          </rPr>
          <t>Sonia Esperanza Casas Merchan:</t>
        </r>
        <r>
          <rPr>
            <sz val="9"/>
            <color indexed="81"/>
            <rFont val="Tahoma"/>
            <family val="2"/>
          </rPr>
          <t xml:space="preserve">
Era de capacidad; en correo del 23/04 se solicita ajuste a flujo</t>
        </r>
      </text>
    </comment>
    <comment ref="M22" authorId="0" shapeId="0" xr:uid="{00000000-0006-0000-0400-00001B000000}">
      <text>
        <r>
          <rPr>
            <b/>
            <sz val="9"/>
            <color indexed="81"/>
            <rFont val="Tahoma"/>
            <family val="2"/>
          </rPr>
          <t>Sonia Esperanza Casas Merchan:</t>
        </r>
        <r>
          <rPr>
            <sz val="9"/>
            <color indexed="81"/>
            <rFont val="Tahoma"/>
            <family val="2"/>
          </rPr>
          <t xml:space="preserve">
se cambio lb</t>
        </r>
      </text>
    </comment>
    <comment ref="J23" authorId="0" shapeId="0" xr:uid="{00000000-0006-0000-0400-00001C000000}">
      <text>
        <r>
          <rPr>
            <b/>
            <sz val="9"/>
            <color indexed="81"/>
            <rFont val="Tahoma"/>
            <family val="2"/>
          </rPr>
          <t>Sonia Esperanza Casas Merchan:</t>
        </r>
        <r>
          <rPr>
            <sz val="9"/>
            <color indexed="81"/>
            <rFont val="Tahoma"/>
            <family val="2"/>
          </rPr>
          <t xml:space="preserve">
Era de capacidad; lo cambiaron a Acumulado, y luego a FLUJO. Solicitud remitida el 24/07 aprobada por DNP el 01/08/18</t>
        </r>
      </text>
    </comment>
    <comment ref="M23" authorId="0" shapeId="0" xr:uid="{00000000-0006-0000-0400-00001D000000}">
      <text>
        <r>
          <rPr>
            <b/>
            <sz val="9"/>
            <color indexed="81"/>
            <rFont val="Tahoma"/>
            <family val="2"/>
          </rPr>
          <t>Sonia Esperanza Casas Merchan:</t>
        </r>
        <r>
          <rPr>
            <sz val="9"/>
            <color indexed="81"/>
            <rFont val="Tahoma"/>
            <family val="2"/>
          </rPr>
          <t xml:space="preserve">
La LB inicial era de 404.056 y se solicitó ajuste a 362.740 aprobado por DNP</t>
        </r>
      </text>
    </comment>
    <comment ref="J24" authorId="0" shapeId="0" xr:uid="{00000000-0006-0000-0400-00001E000000}">
      <text>
        <r>
          <rPr>
            <b/>
            <sz val="9"/>
            <color indexed="81"/>
            <rFont val="Tahoma"/>
            <family val="2"/>
          </rPr>
          <t>Sonia Esperanza Casas Merchan:</t>
        </r>
        <r>
          <rPr>
            <sz val="9"/>
            <color indexed="81"/>
            <rFont val="Tahoma"/>
            <family val="2"/>
          </rPr>
          <t xml:space="preserve">
Era de capacidad; en correo del 23/04 se solicita ajuste a flujo y fue APROBADO OK</t>
        </r>
      </text>
    </comment>
    <comment ref="J25" authorId="0" shapeId="0" xr:uid="{5DDF88AA-C145-443B-8AEB-A82AB5462538}">
      <text>
        <r>
          <rPr>
            <b/>
            <sz val="9"/>
            <color indexed="81"/>
            <rFont val="Tahoma"/>
            <family val="2"/>
          </rPr>
          <t>Sonia Esperanza Casas Merchan:</t>
        </r>
        <r>
          <rPr>
            <sz val="9"/>
            <color indexed="81"/>
            <rFont val="Tahoma"/>
            <family val="2"/>
          </rPr>
          <t xml:space="preserve">
Tiene acumulación de CAPACIDAD, por su comportamiento se solicita cambio a FLUJO</t>
        </r>
      </text>
    </comment>
    <comment ref="J28" authorId="0" shapeId="0" xr:uid="{00000000-0006-0000-0400-00001F000000}">
      <text>
        <r>
          <rPr>
            <b/>
            <sz val="9"/>
            <color indexed="81"/>
            <rFont val="Tahoma"/>
            <family val="2"/>
          </rPr>
          <t>Sonia Esperanza Casas Merchan:</t>
        </r>
        <r>
          <rPr>
            <sz val="9"/>
            <color indexed="81"/>
            <rFont val="Tahoma"/>
            <family val="2"/>
          </rPr>
          <t xml:space="preserve">
Era de capacidad; en correo del 23/04 se solicita ajuste a flujo y FUE APROBADO OK</t>
        </r>
      </text>
    </comment>
    <comment ref="M29" authorId="0" shapeId="0" xr:uid="{00000000-0006-0000-0400-000020000000}">
      <text>
        <r>
          <rPr>
            <b/>
            <sz val="9"/>
            <color indexed="81"/>
            <rFont val="Tahoma"/>
            <family val="2"/>
          </rPr>
          <t>Sonia Esperanza Casas Merchan:</t>
        </r>
        <r>
          <rPr>
            <sz val="9"/>
            <color indexed="81"/>
            <rFont val="Tahoma"/>
            <family val="2"/>
          </rPr>
          <t xml:space="preserve">
La LB inicial era de 72,86% y se solicitó ajuste a 72,76% aprobado por DNP en 2015</t>
        </r>
      </text>
    </comment>
    <comment ref="J30" authorId="0" shapeId="0" xr:uid="{00000000-0006-0000-0400-000021000000}">
      <text>
        <r>
          <rPr>
            <b/>
            <sz val="9"/>
            <color indexed="81"/>
            <rFont val="Tahoma"/>
            <family val="2"/>
          </rPr>
          <t>Sonia Esperanza Casas Merchan:</t>
        </r>
        <r>
          <rPr>
            <sz val="9"/>
            <color indexed="81"/>
            <rFont val="Tahoma"/>
            <family val="2"/>
          </rPr>
          <t xml:space="preserve">
era de flujo, lo cambiaron a acumulado</t>
        </r>
      </text>
    </comment>
    <comment ref="L30" authorId="0" shapeId="0" xr:uid="{00000000-0006-0000-0400-000022000000}">
      <text>
        <r>
          <rPr>
            <b/>
            <sz val="9"/>
            <color indexed="81"/>
            <rFont val="Tahoma"/>
            <family val="2"/>
          </rPr>
          <t>Sonia Esperanza Casas Merchan:</t>
        </r>
        <r>
          <rPr>
            <sz val="9"/>
            <color indexed="81"/>
            <rFont val="Tahoma"/>
            <family val="2"/>
          </rPr>
          <t xml:space="preserve">
La MC inicial era de 582.001; se solicitó ajuste a 500.798. Se reiteró solicitud el 24/07/18. DNP AJUSTÓ EN SINERGIA (01/08/18)</t>
        </r>
      </text>
    </comment>
    <comment ref="M30" authorId="0" shapeId="0" xr:uid="{00000000-0006-0000-0400-000023000000}">
      <text>
        <r>
          <rPr>
            <b/>
            <sz val="9"/>
            <color indexed="81"/>
            <rFont val="Tahoma"/>
            <family val="2"/>
          </rPr>
          <t>Sonia Esperanza Casas Merchan:</t>
        </r>
        <r>
          <rPr>
            <sz val="9"/>
            <color indexed="81"/>
            <rFont val="Tahoma"/>
            <family val="2"/>
          </rPr>
          <t xml:space="preserve">
La LB inicial era 492.798 y se solicitó ajuste a 432.372.  Se reiteró solicitud el 24/07/18. DNP AJUSTÓ EN SINERGIA (01/08/18)</t>
        </r>
      </text>
    </comment>
    <comment ref="AD30" authorId="0" shapeId="0" xr:uid="{00000000-0006-0000-0400-000024000000}">
      <text>
        <r>
          <rPr>
            <b/>
            <sz val="9"/>
            <color indexed="81"/>
            <rFont val="Tahoma"/>
            <family val="2"/>
          </rPr>
          <t>Sonia Esperanza Casas Merchan:</t>
        </r>
        <r>
          <rPr>
            <sz val="9"/>
            <color indexed="81"/>
            <rFont val="Tahoma"/>
            <family val="2"/>
          </rPr>
          <t xml:space="preserve">
De aprobarse el ajuste por DNP cambiar{ia a 500.798</t>
        </r>
      </text>
    </comment>
    <comment ref="L32" authorId="0" shapeId="0" xr:uid="{00000000-0006-0000-0400-000025000000}">
      <text>
        <r>
          <rPr>
            <b/>
            <sz val="9"/>
            <color indexed="81"/>
            <rFont val="Tahoma"/>
            <family val="2"/>
          </rPr>
          <t>Sonia Esperanza Casas Merchan:</t>
        </r>
        <r>
          <rPr>
            <sz val="9"/>
            <color indexed="81"/>
            <rFont val="Tahoma"/>
            <family val="2"/>
          </rPr>
          <t xml:space="preserve">
se solicitó ajuste de 457.081 a 553.408, no respondido ni ajustado en Sinergia</t>
        </r>
      </text>
    </comment>
    <comment ref="M32" authorId="0" shapeId="0" xr:uid="{00000000-0006-0000-0400-000026000000}">
      <text>
        <r>
          <rPr>
            <b/>
            <sz val="9"/>
            <color indexed="81"/>
            <rFont val="Tahoma"/>
            <family val="2"/>
          </rPr>
          <t>Sonia Esperanza Casas Merchan:</t>
        </r>
        <r>
          <rPr>
            <sz val="9"/>
            <color indexed="81"/>
            <rFont val="Tahoma"/>
            <family val="2"/>
          </rPr>
          <t xml:space="preserve">
La LB inicial era 659.000 y se solicitó ajustar a 690.512, aprobado por DNP en 2015 y pendiente por aplicar en SINERGIA</t>
        </r>
      </text>
    </comment>
    <comment ref="N32" authorId="0" shapeId="0" xr:uid="{00000000-0006-0000-0400-000027000000}">
      <text>
        <r>
          <rPr>
            <b/>
            <sz val="9"/>
            <color indexed="81"/>
            <rFont val="Tahoma"/>
            <family val="2"/>
          </rPr>
          <t>Sonia Esperanza Casas Merchan:</t>
        </r>
        <r>
          <rPr>
            <sz val="9"/>
            <color indexed="81"/>
            <rFont val="Tahoma"/>
            <family val="2"/>
          </rPr>
          <t xml:space="preserve">
En SINERGIA no hay dato</t>
        </r>
      </text>
    </comment>
    <comment ref="Q32" authorId="0" shapeId="0" xr:uid="{00000000-0006-0000-0400-000028000000}">
      <text>
        <r>
          <rPr>
            <b/>
            <sz val="9"/>
            <color indexed="81"/>
            <rFont val="Tahoma"/>
            <family val="2"/>
          </rPr>
          <t>Sonia Esperanza Casas Merchan:</t>
        </r>
        <r>
          <rPr>
            <sz val="9"/>
            <color indexed="81"/>
            <rFont val="Tahoma"/>
            <family val="2"/>
          </rPr>
          <t xml:space="preserve">
En SINERGIA no se identifican datos</t>
        </r>
      </text>
    </comment>
    <comment ref="W32" authorId="0" shapeId="0" xr:uid="{00000000-0006-0000-0400-000029000000}">
      <text>
        <r>
          <rPr>
            <b/>
            <sz val="9"/>
            <color indexed="81"/>
            <rFont val="Tahoma"/>
            <family val="2"/>
          </rPr>
          <t>Sonia Esperanza Casas Merchan:</t>
        </r>
        <r>
          <rPr>
            <sz val="9"/>
            <color indexed="81"/>
            <rFont val="Tahoma"/>
            <family val="2"/>
          </rPr>
          <t xml:space="preserve">
En SINERGIA no se identifican datos</t>
        </r>
      </text>
    </comment>
    <comment ref="AD32" authorId="0" shapeId="0" xr:uid="{00000000-0006-0000-0400-00002A000000}">
      <text>
        <r>
          <rPr>
            <b/>
            <sz val="9"/>
            <color indexed="81"/>
            <rFont val="Tahoma"/>
            <family val="2"/>
          </rPr>
          <t>Sonia Esperanza Casas Merchan:</t>
        </r>
        <r>
          <rPr>
            <sz val="9"/>
            <color indexed="81"/>
            <rFont val="Tahoma"/>
            <family val="2"/>
          </rPr>
          <t xml:space="preserve">
En SINERGIA no hay dato</t>
        </r>
      </text>
    </comment>
    <comment ref="O33" authorId="0" shapeId="0" xr:uid="{00000000-0006-0000-0400-00002B000000}">
      <text>
        <r>
          <rPr>
            <b/>
            <sz val="9"/>
            <color indexed="81"/>
            <rFont val="Tahoma"/>
            <family val="2"/>
          </rPr>
          <t>Sonia Esperanza Casas Merchan:</t>
        </r>
        <r>
          <rPr>
            <sz val="9"/>
            <color indexed="81"/>
            <rFont val="Tahoma"/>
            <family val="2"/>
          </rPr>
          <t xml:space="preserve">
era 1977 se ajustó a 2,772; luego volvieron a ajustarlo a 3.131</t>
        </r>
      </text>
    </comment>
    <comment ref="S33" authorId="0" shapeId="0" xr:uid="{E6E050D2-778D-48D3-9088-D2150C4A9542}">
      <text>
        <r>
          <rPr>
            <b/>
            <sz val="9"/>
            <color indexed="81"/>
            <rFont val="Tahoma"/>
            <family val="2"/>
          </rPr>
          <t>Sonia Esperanza Casas Merchan:</t>
        </r>
        <r>
          <rPr>
            <sz val="9"/>
            <color indexed="81"/>
            <rFont val="Tahoma"/>
            <family val="2"/>
          </rPr>
          <t xml:space="preserve">
Era 2.508 y se ajustó a 2.832</t>
        </r>
      </text>
    </comment>
    <comment ref="Y33" authorId="0" shapeId="0" xr:uid="{E4CB642C-F368-4146-B0F0-7D41180B6A53}">
      <text>
        <r>
          <rPr>
            <b/>
            <sz val="9"/>
            <color indexed="81"/>
            <rFont val="Tahoma"/>
            <family val="2"/>
          </rPr>
          <t>Sonia Esperanza Casas Merchan:</t>
        </r>
        <r>
          <rPr>
            <sz val="9"/>
            <color indexed="81"/>
            <rFont val="Tahoma"/>
            <family val="2"/>
          </rPr>
          <t xml:space="preserve">
Era 2.817 y se ajustó a 2.952</t>
        </r>
      </text>
    </comment>
    <comment ref="AF33" authorId="0" shapeId="0" xr:uid="{00000000-0006-0000-0400-00002C000000}">
      <text>
        <r>
          <rPr>
            <b/>
            <sz val="9"/>
            <color indexed="81"/>
            <rFont val="Tahoma"/>
            <family val="2"/>
          </rPr>
          <t xml:space="preserve">Sonia Esperanza Casas Merchan:
</t>
        </r>
        <r>
          <rPr>
            <sz val="9"/>
            <color indexed="81"/>
            <rFont val="Tahoma"/>
            <family val="2"/>
          </rPr>
          <t>Total corte diciembre (acum): 26.661 aulas (12.249 entregadas; 14.412contratadas)</t>
        </r>
      </text>
    </comment>
    <comment ref="L34" authorId="0" shapeId="0" xr:uid="{00000000-0006-0000-0400-00002D000000}">
      <text>
        <r>
          <rPr>
            <b/>
            <sz val="9"/>
            <color indexed="81"/>
            <rFont val="Tahoma"/>
            <family val="2"/>
          </rPr>
          <t>Sonia Esperanza Casas Merchan:</t>
        </r>
        <r>
          <rPr>
            <sz val="9"/>
            <color indexed="81"/>
            <rFont val="Tahoma"/>
            <family val="2"/>
          </rPr>
          <t xml:space="preserve">
En SINERGIA aparece como 71,07% pero por datos en serie debe ajustarse a 57,79%</t>
        </r>
      </text>
    </comment>
    <comment ref="M34" authorId="0" shapeId="0" xr:uid="{DBC30F20-3807-47DB-B494-77C236F28E41}">
      <text>
        <r>
          <rPr>
            <b/>
            <sz val="9"/>
            <color indexed="81"/>
            <rFont val="Tahoma"/>
            <family val="2"/>
          </rPr>
          <t>Sonia Esperanza Casas Merchan:</t>
        </r>
        <r>
          <rPr>
            <sz val="9"/>
            <color indexed="81"/>
            <rFont val="Tahoma"/>
            <family val="2"/>
          </rPr>
          <t xml:space="preserve">
Según la ficha técnica la LB es de 57,48%; en SINERGIA aparce como 61,98%</t>
        </r>
      </text>
    </comment>
    <comment ref="J35" authorId="0" shapeId="0" xr:uid="{00000000-0006-0000-0400-00002E000000}">
      <text>
        <r>
          <rPr>
            <b/>
            <sz val="9"/>
            <color indexed="81"/>
            <rFont val="Tahoma"/>
            <family val="2"/>
          </rPr>
          <t>Era de capacidad; lo cambiaron a flujo</t>
        </r>
      </text>
    </comment>
    <comment ref="J36" authorId="0" shapeId="0" xr:uid="{00000000-0006-0000-0400-00002F000000}">
      <text>
        <r>
          <rPr>
            <b/>
            <sz val="9"/>
            <color indexed="81"/>
            <rFont val="Tahoma"/>
            <family val="2"/>
          </rPr>
          <t>Sonia Esperanza Casas Merchan:</t>
        </r>
        <r>
          <rPr>
            <sz val="9"/>
            <color indexed="81"/>
            <rFont val="Tahoma"/>
            <family val="2"/>
          </rPr>
          <t xml:space="preserve">
era de capacidad, lo cambiaron a flujo</t>
        </r>
      </text>
    </comment>
    <comment ref="J37" authorId="0" shapeId="0" xr:uid="{00000000-0006-0000-0400-000030000000}">
      <text>
        <r>
          <rPr>
            <b/>
            <sz val="9"/>
            <color indexed="81"/>
            <rFont val="Tahoma"/>
            <family val="2"/>
          </rPr>
          <t>Sonia Esperanza Casas Merchan:</t>
        </r>
        <r>
          <rPr>
            <sz val="9"/>
            <color indexed="81"/>
            <rFont val="Tahoma"/>
            <family val="2"/>
          </rPr>
          <t xml:space="preserve">
en correo del 23/04 se solicita el cambio de capacidad a flujo; fue aplicado por DNP</t>
        </r>
      </text>
    </comment>
    <comment ref="AF38" authorId="0" shapeId="0" xr:uid="{A9350551-1CEA-4AEC-955A-318ADCBE293C}">
      <text>
        <r>
          <rPr>
            <b/>
            <sz val="9"/>
            <color indexed="81"/>
            <rFont val="Tahoma"/>
            <family val="2"/>
          </rPr>
          <t>Sonia Esperanza Casas Merchan: Dato a septiembre; pendiente por ajustar en SINERGIA</t>
        </r>
      </text>
    </comment>
    <comment ref="J39" authorId="0" shapeId="0" xr:uid="{00000000-0006-0000-0400-000031000000}">
      <text>
        <r>
          <rPr>
            <b/>
            <sz val="9"/>
            <color indexed="81"/>
            <rFont val="Tahoma"/>
            <family val="2"/>
          </rPr>
          <t>Sonia Esperanza Casas Merchan:</t>
        </r>
        <r>
          <rPr>
            <sz val="9"/>
            <color indexed="81"/>
            <rFont val="Tahoma"/>
            <family val="2"/>
          </rPr>
          <t xml:space="preserve">
en correo del 23/04 se solicitó cambio de capacidad a flujo; ya se aplicó por parte de DNP</t>
        </r>
      </text>
    </comment>
    <comment ref="J40" authorId="0" shapeId="0" xr:uid="{00000000-0006-0000-0400-000032000000}">
      <text>
        <r>
          <rPr>
            <b/>
            <sz val="9"/>
            <color indexed="81"/>
            <rFont val="Tahoma"/>
            <family val="2"/>
          </rPr>
          <t>Sonia Esperanza Casas Merchan:</t>
        </r>
        <r>
          <rPr>
            <sz val="9"/>
            <color indexed="81"/>
            <rFont val="Tahoma"/>
            <family val="2"/>
          </rPr>
          <t xml:space="preserve">
en correo del 23/04 se solicitó cambio de capacidad a flujo; ya se aplicó por parte de DNP</t>
        </r>
      </text>
    </comment>
    <comment ref="G41" authorId="1" shapeId="0" xr:uid="{00000000-0006-0000-0400-000033000000}">
      <text>
        <r>
          <rPr>
            <b/>
            <sz val="9"/>
            <color indexed="81"/>
            <rFont val="Tahoma"/>
            <family val="2"/>
          </rPr>
          <t>SoniaCasas:</t>
        </r>
        <r>
          <rPr>
            <sz val="9"/>
            <color indexed="81"/>
            <rFont val="Tahoma"/>
            <family val="2"/>
          </rPr>
          <t xml:space="preserve">
En el TC Presidente figura como Número de docentes por tutor (PTA)</t>
        </r>
      </text>
    </comment>
    <comment ref="S41" authorId="0" shapeId="0" xr:uid="{00000000-0006-0000-0400-000034000000}">
      <text>
        <r>
          <rPr>
            <b/>
            <sz val="9"/>
            <color indexed="81"/>
            <rFont val="Tahoma"/>
            <family val="2"/>
          </rPr>
          <t>Sonia Esperanza Casas Merchan:</t>
        </r>
        <r>
          <rPr>
            <sz val="9"/>
            <color indexed="81"/>
            <rFont val="Tahoma"/>
            <family val="2"/>
          </rPr>
          <t xml:space="preserve">
Avance 2016 es 26,11 figura en sinergia como 25,85</t>
        </r>
      </text>
    </comment>
    <comment ref="J42" authorId="0" shapeId="0" xr:uid="{00000000-0006-0000-0400-000035000000}">
      <text>
        <r>
          <rPr>
            <b/>
            <sz val="9"/>
            <color indexed="81"/>
            <rFont val="Tahoma"/>
            <family val="2"/>
          </rPr>
          <t xml:space="preserve">Sonia Esperanza Casas Merchan:
</t>
        </r>
        <r>
          <rPr>
            <sz val="9"/>
            <color indexed="81"/>
            <rFont val="Tahoma"/>
            <family val="2"/>
          </rPr>
          <t>era de capacidad, lo cambiaron a flujo</t>
        </r>
      </text>
    </comment>
    <comment ref="G43" authorId="1" shapeId="0" xr:uid="{00000000-0006-0000-0400-000036000000}">
      <text>
        <r>
          <rPr>
            <b/>
            <sz val="9"/>
            <color indexed="81"/>
            <rFont val="Tahoma"/>
            <family val="2"/>
          </rPr>
          <t>SoniaCasas:</t>
        </r>
        <r>
          <rPr>
            <sz val="9"/>
            <color indexed="81"/>
            <rFont val="Tahoma"/>
            <family val="2"/>
          </rPr>
          <t xml:space="preserve">
Se acompaña de otro denominado Docentes o aspirantes docentes beneficiados con recursos de la nación para mejorar su nivel de ofrmación a nivel de postgrado.</t>
        </r>
      </text>
    </comment>
    <comment ref="N43" authorId="1" shapeId="0" xr:uid="{00000000-0006-0000-0400-000037000000}">
      <text>
        <r>
          <rPr>
            <b/>
            <sz val="9"/>
            <color indexed="81"/>
            <rFont val="Tahoma"/>
            <family val="2"/>
          </rPr>
          <t>SoniaCasas:</t>
        </r>
        <r>
          <rPr>
            <sz val="9"/>
            <color indexed="81"/>
            <rFont val="Tahoma"/>
            <family val="2"/>
          </rPr>
          <t xml:space="preserve">
meta en SINERGIA del 32%</t>
        </r>
      </text>
    </comment>
    <comment ref="M45" authorId="0" shapeId="0" xr:uid="{00000000-0006-0000-0400-000038000000}">
      <text>
        <r>
          <rPr>
            <b/>
            <sz val="9"/>
            <color indexed="81"/>
            <rFont val="Tahoma"/>
            <family val="2"/>
          </rPr>
          <t>Sonia Esperanza Casas Merchan:</t>
        </r>
        <r>
          <rPr>
            <sz val="9"/>
            <color indexed="81"/>
            <rFont val="Tahoma"/>
            <family val="2"/>
          </rPr>
          <t xml:space="preserve">
La LB inicial era de 4.293; se solicitó ajustar a 5.703- NO SE HA RECIBIDO RESPUESTA OFICIAL DNP- pendiente por aplicar en SINERGIA</t>
        </r>
      </text>
    </comment>
    <comment ref="L46" authorId="0" shapeId="0" xr:uid="{00000000-0006-0000-0400-000039000000}">
      <text>
        <r>
          <rPr>
            <b/>
            <sz val="9"/>
            <color indexed="81"/>
            <rFont val="Tahoma"/>
            <family val="2"/>
          </rPr>
          <t>Sonia Esperanza Casas Merchan:</t>
        </r>
        <r>
          <rPr>
            <sz val="9"/>
            <color indexed="81"/>
            <rFont val="Tahoma"/>
            <family val="2"/>
          </rPr>
          <t xml:space="preserve">
la meta inicial es de 11,96% y no 12%
lb 9,4%; NO SE AUTORIZÓ CAMBIO DE META CUATRIENIO</t>
        </r>
      </text>
    </comment>
    <comment ref="M46" authorId="0" shapeId="0" xr:uid="{00000000-0006-0000-0400-00003A000000}">
      <text>
        <r>
          <rPr>
            <b/>
            <sz val="9"/>
            <color indexed="81"/>
            <rFont val="Tahoma"/>
            <family val="2"/>
          </rPr>
          <t>Sonia Esperanza Casas Merchan:</t>
        </r>
        <r>
          <rPr>
            <sz val="9"/>
            <color indexed="81"/>
            <rFont val="Tahoma"/>
            <family val="2"/>
          </rPr>
          <t xml:space="preserve">
Es 9,4% y no 94% como aparece en SINERGIA; se ajustó y ya aparece 9,4%</t>
        </r>
      </text>
    </comment>
    <comment ref="AD46" authorId="0" shapeId="0" xr:uid="{00000000-0006-0000-0400-00003B000000}">
      <text>
        <r>
          <rPr>
            <b/>
            <sz val="9"/>
            <color indexed="81"/>
            <rFont val="Tahoma"/>
            <family val="2"/>
          </rPr>
          <t>Sonia Esperanza Casas Merchan:</t>
        </r>
        <r>
          <rPr>
            <sz val="9"/>
            <color indexed="81"/>
            <rFont val="Tahoma"/>
            <family val="2"/>
          </rPr>
          <t xml:space="preserve">
En sinergia aparece como 12% debe ajustarse a 11,96%</t>
        </r>
      </text>
    </comment>
    <comment ref="S47" authorId="0" shapeId="0" xr:uid="{00000000-0006-0000-0400-00003C000000}">
      <text>
        <r>
          <rPr>
            <b/>
            <sz val="9"/>
            <color indexed="81"/>
            <rFont val="Tahoma"/>
            <family val="2"/>
          </rPr>
          <t>Sonia Esperanza Casas Merchan:</t>
        </r>
        <r>
          <rPr>
            <sz val="9"/>
            <color indexed="81"/>
            <rFont val="Tahoma"/>
            <family val="2"/>
          </rPr>
          <t xml:space="preserve">
Estaba en 4.230 pero correspondía a un reporte preliminar; el dato ajustado es 4.188 y pedimos que así se ajustara, pero en realidad después de contrastar contra el cualitativo el área técnica informa que es 4.128. AJUSTADO OK</t>
        </r>
      </text>
    </comment>
    <comment ref="Y47" authorId="0" shapeId="0" xr:uid="{00000000-0006-0000-0400-00003D000000}">
      <text>
        <r>
          <rPr>
            <b/>
            <sz val="9"/>
            <color indexed="81"/>
            <rFont val="Tahoma"/>
            <family val="2"/>
          </rPr>
          <t>Sonia Esperanza Casas Merchan:</t>
        </r>
        <r>
          <rPr>
            <sz val="9"/>
            <color indexed="81"/>
            <rFont val="Tahoma"/>
            <family val="2"/>
          </rPr>
          <t xml:space="preserve">
estaba en 4.083 en sinergia, pero ya fue ajustado</t>
        </r>
      </text>
    </comment>
    <comment ref="AF50" authorId="0" shapeId="0" xr:uid="{71DE75AB-9D19-4CF3-905C-2BFF094A8F1E}">
      <text>
        <r>
          <rPr>
            <b/>
            <sz val="9"/>
            <color indexed="81"/>
            <rFont val="Tahoma"/>
            <family val="2"/>
          </rPr>
          <t>Sonia Esperanza Casas Merchan:</t>
        </r>
        <r>
          <rPr>
            <sz val="9"/>
            <color indexed="81"/>
            <rFont val="Tahoma"/>
            <family val="2"/>
          </rPr>
          <t xml:space="preserve">
Dato a septiembre; pendiente por ajuste en SINERGIA</t>
        </r>
      </text>
    </comment>
    <comment ref="J52" authorId="0" shapeId="0" xr:uid="{00000000-0006-0000-0400-00003E000000}">
      <text>
        <r>
          <rPr>
            <b/>
            <sz val="9"/>
            <color indexed="81"/>
            <rFont val="Tahoma"/>
            <family val="2"/>
          </rPr>
          <t>Sonia Esperanza Casas Merchan:</t>
        </r>
        <r>
          <rPr>
            <sz val="9"/>
            <color indexed="81"/>
            <rFont val="Tahoma"/>
            <family val="2"/>
          </rPr>
          <t xml:space="preserve">
Se solicitó cambio del tipo de acumulación de capacidad a Flujo</t>
        </r>
      </text>
    </comment>
    <comment ref="O54" authorId="0" shapeId="0" xr:uid="{00000000-0006-0000-0400-00003F000000}">
      <text>
        <r>
          <rPr>
            <b/>
            <sz val="9"/>
            <color indexed="81"/>
            <rFont val="Tahoma"/>
            <family val="2"/>
          </rPr>
          <t>Sonia Esperanza Casas Merchan:</t>
        </r>
        <r>
          <rPr>
            <sz val="9"/>
            <color indexed="81"/>
            <rFont val="Tahoma"/>
            <family val="2"/>
          </rPr>
          <t xml:space="preserve">
En SINERGIA está como 22%</t>
        </r>
      </text>
    </comment>
    <comment ref="S54" authorId="0" shapeId="0" xr:uid="{00000000-0006-0000-0400-000040000000}">
      <text>
        <r>
          <rPr>
            <b/>
            <sz val="9"/>
            <color indexed="81"/>
            <rFont val="Tahoma"/>
            <family val="2"/>
          </rPr>
          <t>Sonia Esperanza Casas Merchan:</t>
        </r>
        <r>
          <rPr>
            <sz val="9"/>
            <color indexed="81"/>
            <rFont val="Tahoma"/>
            <family val="2"/>
          </rPr>
          <t xml:space="preserve">
En SINERGIA está como 26%</t>
        </r>
      </text>
    </comment>
    <comment ref="Y54" authorId="0" shapeId="0" xr:uid="{00000000-0006-0000-0400-000041000000}">
      <text>
        <r>
          <rPr>
            <b/>
            <sz val="9"/>
            <color indexed="81"/>
            <rFont val="Tahoma"/>
            <family val="2"/>
          </rPr>
          <t>Sonia Esperanza Casas Merchan:</t>
        </r>
        <r>
          <rPr>
            <sz val="9"/>
            <color indexed="81"/>
            <rFont val="Tahoma"/>
            <family val="2"/>
          </rPr>
          <t xml:space="preserve">
en SINERGIA está como 53%</t>
        </r>
      </text>
    </comment>
    <comment ref="C57" authorId="0" shapeId="0" xr:uid="{00000000-0006-0000-0400-000042000000}">
      <text>
        <r>
          <rPr>
            <b/>
            <sz val="9"/>
            <color indexed="81"/>
            <rFont val="Tahoma"/>
            <family val="2"/>
          </rPr>
          <t>Sonia Esperanza Casas Merchan:</t>
        </r>
        <r>
          <rPr>
            <sz val="9"/>
            <color indexed="81"/>
            <rFont val="Tahoma"/>
            <family val="2"/>
          </rPr>
          <t xml:space="preserve">
se modificó Tipo de acumulación pero no el avance de 2016</t>
        </r>
      </text>
    </comment>
    <comment ref="S57" authorId="0" shapeId="0" xr:uid="{00000000-0006-0000-0400-000043000000}">
      <text>
        <r>
          <rPr>
            <b/>
            <sz val="9"/>
            <color indexed="81"/>
            <rFont val="Tahoma"/>
            <family val="2"/>
          </rPr>
          <t>Sonia Esperanza Casas Merchan:</t>
        </r>
        <r>
          <rPr>
            <sz val="9"/>
            <color indexed="81"/>
            <rFont val="Tahoma"/>
            <family val="2"/>
          </rPr>
          <t xml:space="preserve">
En SINERGIA está en 11,3 y es preliminar, se pidió ajustar a 9,1- AJUSTADO OK</t>
        </r>
      </text>
    </comment>
    <comment ref="L58" authorId="0" shapeId="0" xr:uid="{00000000-0006-0000-0400-000044000000}">
      <text>
        <r>
          <rPr>
            <b/>
            <sz val="9"/>
            <color indexed="81"/>
            <rFont val="Tahoma"/>
            <family val="2"/>
          </rPr>
          <t>Sonia Esperanza Casas Merchan:</t>
        </r>
        <r>
          <rPr>
            <sz val="9"/>
            <color indexed="81"/>
            <rFont val="Tahoma"/>
            <family val="2"/>
          </rPr>
          <t xml:space="preserve">
suma la LB</t>
        </r>
      </text>
    </comment>
    <comment ref="Y58" authorId="0" shapeId="0" xr:uid="{00000000-0006-0000-0400-000045000000}">
      <text>
        <r>
          <rPr>
            <b/>
            <sz val="9"/>
            <color indexed="81"/>
            <rFont val="Tahoma"/>
            <family val="2"/>
          </rPr>
          <t>Sonia Esperanza Casas Merchan:</t>
        </r>
        <r>
          <rPr>
            <sz val="9"/>
            <color indexed="81"/>
            <rFont val="Tahoma"/>
            <family val="2"/>
          </rPr>
          <t xml:space="preserve">
indican que son 20.855</t>
        </r>
      </text>
    </comment>
    <comment ref="G62" authorId="1" shapeId="0" xr:uid="{00000000-0006-0000-0400-000046000000}">
      <text>
        <r>
          <rPr>
            <b/>
            <sz val="9"/>
            <color indexed="81"/>
            <rFont val="Tahoma"/>
            <family val="2"/>
          </rPr>
          <t>SoniaCasas:</t>
        </r>
        <r>
          <rPr>
            <sz val="9"/>
            <color indexed="81"/>
            <rFont val="Tahoma"/>
            <family val="2"/>
          </rPr>
          <t xml:space="preserve">
En el TC Presidente figura como Número de departamentos con tasa de cobertura en Educación Superior por encima del 20%</t>
        </r>
      </text>
    </comment>
    <comment ref="Y63" authorId="0" shapeId="0" xr:uid="{00000000-0006-0000-0400-000048000000}">
      <text>
        <r>
          <rPr>
            <b/>
            <sz val="9"/>
            <color indexed="81"/>
            <rFont val="Tahoma"/>
            <family val="2"/>
          </rPr>
          <t>Sonia Esperanza Casas Merchan:</t>
        </r>
        <r>
          <rPr>
            <sz val="9"/>
            <color indexed="81"/>
            <rFont val="Tahoma"/>
            <family val="2"/>
          </rPr>
          <t xml:space="preserve">
</t>
        </r>
      </text>
    </comment>
    <comment ref="G64" authorId="1" shapeId="0" xr:uid="{00000000-0006-0000-0400-000049000000}">
      <text>
        <r>
          <rPr>
            <b/>
            <sz val="9"/>
            <color indexed="81"/>
            <rFont val="Tahoma"/>
            <family val="2"/>
          </rPr>
          <t>SoniaCasas:
En el TC Presidente figura como Créditos-Beca otorgados para estudios en educación superior</t>
        </r>
      </text>
    </comment>
    <comment ref="M64" authorId="0" shapeId="0" xr:uid="{00000000-0006-0000-0400-00004A000000}">
      <text>
        <r>
          <rPr>
            <b/>
            <sz val="9"/>
            <color indexed="81"/>
            <rFont val="Tahoma"/>
            <family val="2"/>
          </rPr>
          <t>Sonia Esperanza Casas Merchan:</t>
        </r>
        <r>
          <rPr>
            <sz val="9"/>
            <color indexed="81"/>
            <rFont val="Tahoma"/>
            <family val="2"/>
          </rPr>
          <t xml:space="preserve">
La LB inicial es de 23.067, pero se solicitó ajuste a 26.889 aprobado por DNP sin aplicar; sin embargo, el concepto de DNP es de inviable cambio LB</t>
        </r>
      </text>
    </comment>
    <comment ref="O64" authorId="1" shapeId="0" xr:uid="{00000000-0006-0000-0400-00004B000000}">
      <text>
        <r>
          <rPr>
            <b/>
            <sz val="9"/>
            <color indexed="81"/>
            <rFont val="Tahoma"/>
            <family val="2"/>
          </rPr>
          <t>SoniaCasas:</t>
        </r>
        <r>
          <rPr>
            <sz val="9"/>
            <color indexed="81"/>
            <rFont val="Tahoma"/>
            <family val="2"/>
          </rPr>
          <t xml:space="preserve">
en sinergia 13.498</t>
        </r>
      </text>
    </comment>
    <comment ref="Q64" authorId="0" shapeId="0" xr:uid="{00000000-0006-0000-0400-00004C000000}">
      <text>
        <r>
          <rPr>
            <b/>
            <sz val="9"/>
            <color indexed="81"/>
            <rFont val="Tahoma"/>
            <family val="2"/>
          </rPr>
          <t>Sonia Esperanza Casas Merchan:</t>
        </r>
        <r>
          <rPr>
            <sz val="9"/>
            <color indexed="81"/>
            <rFont val="Tahoma"/>
            <family val="2"/>
          </rPr>
          <t xml:space="preserve">
La meta está en 37.614 y se solicitó ajustar porque la suma de las metas no da 125.000; AJUSTADO DNP</t>
        </r>
      </text>
    </comment>
    <comment ref="S65" authorId="0" shapeId="0" xr:uid="{00000000-0006-0000-0400-00004D000000}">
      <text>
        <r>
          <rPr>
            <b/>
            <sz val="9"/>
            <color indexed="81"/>
            <rFont val="Tahoma"/>
            <family val="2"/>
          </rPr>
          <t>Sonia Esperanza Casas Merchan:</t>
        </r>
        <r>
          <rPr>
            <sz val="9"/>
            <color indexed="81"/>
            <rFont val="Tahoma"/>
            <family val="2"/>
          </rPr>
          <t xml:space="preserve">
En sinergia está como 43,70%</t>
        </r>
      </text>
    </comment>
    <comment ref="L66" authorId="0" shapeId="0" xr:uid="{00000000-0006-0000-0400-00004E000000}">
      <text>
        <r>
          <rPr>
            <b/>
            <sz val="9"/>
            <color indexed="81"/>
            <rFont val="Tahoma"/>
            <family val="2"/>
          </rPr>
          <t xml:space="preserve">Sonia Esperanza Casas Merchan:
</t>
        </r>
        <r>
          <rPr>
            <sz val="9"/>
            <color indexed="81"/>
            <rFont val="Tahoma"/>
            <family val="2"/>
          </rPr>
          <t>Estaba en 10.000; DNP mediante oficio 20183600279821 del 04/05/18 hace cambio a 11.638</t>
        </r>
      </text>
    </comment>
    <comment ref="N66" authorId="0" shapeId="0" xr:uid="{00000000-0006-0000-0400-00004F000000}">
      <text>
        <r>
          <rPr>
            <b/>
            <sz val="9"/>
            <color indexed="81"/>
            <rFont val="Tahoma"/>
            <family val="2"/>
          </rPr>
          <t>Sonia Esperanza Casas Merchan:</t>
        </r>
        <r>
          <rPr>
            <sz val="9"/>
            <color indexed="81"/>
            <rFont val="Tahoma"/>
            <family val="2"/>
          </rPr>
          <t xml:space="preserve">
Estaba en 9100; DNP en oficio 20183600279821 del 04/05/18 hace cambio a 9.500</t>
        </r>
      </text>
    </comment>
    <comment ref="Q66" authorId="0" shapeId="0" xr:uid="{00000000-0006-0000-0400-000050000000}">
      <text>
        <r>
          <rPr>
            <b/>
            <sz val="9"/>
            <color indexed="81"/>
            <rFont val="Tahoma"/>
            <family val="2"/>
          </rPr>
          <t>Sonia Esperanza Casas Merchan:</t>
        </r>
        <r>
          <rPr>
            <sz val="9"/>
            <color indexed="81"/>
            <rFont val="Tahoma"/>
            <family val="2"/>
          </rPr>
          <t xml:space="preserve">
Estaba en 9.200; DNP mediante oficio 20183600279821 del 04/05/18 hace cambio a 10.216</t>
        </r>
      </text>
    </comment>
    <comment ref="W66" authorId="0" shapeId="0" xr:uid="{00000000-0006-0000-0400-000051000000}">
      <text>
        <r>
          <rPr>
            <b/>
            <sz val="9"/>
            <color indexed="81"/>
            <rFont val="Tahoma"/>
            <family val="2"/>
          </rPr>
          <t xml:space="preserve">Sonia Esperanza Casas Merchan:
</t>
        </r>
        <r>
          <rPr>
            <sz val="9"/>
            <color indexed="81"/>
            <rFont val="Tahoma"/>
            <family val="2"/>
          </rPr>
          <t>Estaba en 9.400; DNP mediante oficio 20183600279821 del 04/05/18 hace cambio a 10.932</t>
        </r>
      </text>
    </comment>
    <comment ref="AD66" authorId="0" shapeId="0" xr:uid="{00000000-0006-0000-0400-000052000000}">
      <text>
        <r>
          <rPr>
            <b/>
            <sz val="9"/>
            <color indexed="81"/>
            <rFont val="Tahoma"/>
            <family val="2"/>
          </rPr>
          <t xml:space="preserve">Sonia Esperanza Casas Merchan:
</t>
        </r>
        <r>
          <rPr>
            <sz val="9"/>
            <color indexed="81"/>
            <rFont val="Tahoma"/>
            <family val="2"/>
          </rPr>
          <t>Estaba en 10.000; DNP mediante oficio 20183600279821 del 04/05/18 hace cambio a 11.638</t>
        </r>
      </text>
    </comment>
    <comment ref="M69" authorId="0" shapeId="0" xr:uid="{00000000-0006-0000-0400-000053000000}">
      <text>
        <r>
          <rPr>
            <b/>
            <sz val="9"/>
            <color indexed="81"/>
            <rFont val="Tahoma"/>
            <family val="2"/>
          </rPr>
          <t>Sonia Esperanza Casas Merchan:</t>
        </r>
        <r>
          <rPr>
            <sz val="9"/>
            <color indexed="81"/>
            <rFont val="Tahoma"/>
            <family val="2"/>
          </rPr>
          <t xml:space="preserve">
La LB inicial era de 13.429 y se solicitó ajustar a 14.623, aprobado por DNP en 2015 y aplicado en SINERGIA</t>
        </r>
      </text>
    </comment>
    <comment ref="L70" authorId="0" shapeId="0" xr:uid="{00000000-0006-0000-0400-000054000000}">
      <text>
        <r>
          <rPr>
            <b/>
            <sz val="9"/>
            <color indexed="81"/>
            <rFont val="Tahoma"/>
            <family val="2"/>
          </rPr>
          <t>Sonia Esperanza Casas Merchan:</t>
        </r>
        <r>
          <rPr>
            <sz val="9"/>
            <color indexed="81"/>
            <rFont val="Tahoma"/>
            <family val="2"/>
          </rPr>
          <t xml:space="preserve">
Esta meta tiene solicitud de ajuste de 4.004 a 2000, aprobada por DNP y pendiente por aplicar en SINERGIA</t>
        </r>
      </text>
    </comment>
    <comment ref="AD70" authorId="0" shapeId="0" xr:uid="{00000000-0006-0000-0400-000055000000}">
      <text>
        <r>
          <rPr>
            <b/>
            <sz val="9"/>
            <color indexed="81"/>
            <rFont val="Tahoma"/>
            <family val="2"/>
          </rPr>
          <t>Sonia Esperanza Casas Merchan:</t>
        </r>
        <r>
          <rPr>
            <sz val="9"/>
            <color indexed="81"/>
            <rFont val="Tahoma"/>
            <family val="2"/>
          </rPr>
          <t xml:space="preserve">
En sinergia está como 4.004</t>
        </r>
      </text>
    </comment>
    <comment ref="G71" authorId="1" shapeId="0" xr:uid="{00000000-0006-0000-0400-000056000000}">
      <text>
        <r>
          <rPr>
            <b/>
            <sz val="9"/>
            <color indexed="81"/>
            <rFont val="Tahoma"/>
            <family val="2"/>
          </rPr>
          <t>SoniaCasas:</t>
        </r>
        <r>
          <rPr>
            <sz val="9"/>
            <color indexed="81"/>
            <rFont val="Tahoma"/>
            <family val="2"/>
          </rPr>
          <t xml:space="preserve">
En el TC Presidente figura como Becas otorgadas mediante programa Ser Pilo Paga</t>
        </r>
      </text>
    </comment>
    <comment ref="P72" authorId="0" shapeId="0" xr:uid="{00000000-0006-0000-0400-000057000000}">
      <text>
        <r>
          <rPr>
            <b/>
            <sz val="9"/>
            <color indexed="81"/>
            <rFont val="Tahoma"/>
            <family val="2"/>
          </rPr>
          <t>Sonia Esperanza Casas Merchan:</t>
        </r>
        <r>
          <rPr>
            <sz val="9"/>
            <color indexed="81"/>
            <rFont val="Tahoma"/>
            <family val="2"/>
          </rPr>
          <t xml:space="preserve">
todo lo que sea inferior a 5% cumple la meta</t>
        </r>
      </text>
    </comment>
    <comment ref="S72" authorId="0" shapeId="0" xr:uid="{00000000-0006-0000-0400-000058000000}">
      <text>
        <r>
          <rPr>
            <b/>
            <sz val="9"/>
            <color indexed="81"/>
            <rFont val="Tahoma"/>
            <family val="2"/>
          </rPr>
          <t>Sonia Esperanza Casas Merchan:</t>
        </r>
        <r>
          <rPr>
            <sz val="9"/>
            <color indexed="81"/>
            <rFont val="Tahoma"/>
            <family val="2"/>
          </rPr>
          <t xml:space="preserve">
esta en sinergia como 0,17</t>
        </r>
      </text>
    </comment>
    <comment ref="U72" authorId="0" shapeId="0" xr:uid="{00000000-0006-0000-0400-000059000000}">
      <text>
        <r>
          <rPr>
            <b/>
            <sz val="9"/>
            <color indexed="81"/>
            <rFont val="Tahoma"/>
            <family val="2"/>
          </rPr>
          <t>Sonia Esperanza Casas Merchan:</t>
        </r>
        <r>
          <rPr>
            <sz val="9"/>
            <color indexed="81"/>
            <rFont val="Tahoma"/>
            <family val="2"/>
          </rPr>
          <t xml:space="preserve">
todo lo que sea inferior a 5% cumple la meta</t>
        </r>
      </text>
    </comment>
    <comment ref="AA72" authorId="0" shapeId="0" xr:uid="{00000000-0006-0000-0400-00005A000000}">
      <text>
        <r>
          <rPr>
            <b/>
            <sz val="9"/>
            <color indexed="81"/>
            <rFont val="Tahoma"/>
            <family val="2"/>
          </rPr>
          <t>Sonia Esperanza Casas Merchan:</t>
        </r>
        <r>
          <rPr>
            <sz val="9"/>
            <color indexed="81"/>
            <rFont val="Tahoma"/>
            <family val="2"/>
          </rPr>
          <t xml:space="preserve">
todo lo que sea inferior a 5% cumple la meta</t>
        </r>
      </text>
    </comment>
    <comment ref="AH72" authorId="0" shapeId="0" xr:uid="{00000000-0006-0000-0400-00005B000000}">
      <text>
        <r>
          <rPr>
            <b/>
            <sz val="9"/>
            <color indexed="81"/>
            <rFont val="Tahoma"/>
            <family val="2"/>
          </rPr>
          <t>Sonia Esperanza Casas Merchan:</t>
        </r>
        <r>
          <rPr>
            <sz val="9"/>
            <color indexed="81"/>
            <rFont val="Tahoma"/>
            <family val="2"/>
          </rPr>
          <t xml:space="preserve">
todo lo que sea inferior a 5% cumple la meta</t>
        </r>
      </text>
    </comment>
    <comment ref="L76" authorId="0" shapeId="0" xr:uid="{00000000-0006-0000-0400-00005C000000}">
      <text>
        <r>
          <rPr>
            <b/>
            <sz val="9"/>
            <color indexed="81"/>
            <rFont val="Tahoma"/>
            <family val="2"/>
          </rPr>
          <t>Sonia Esperanza Casas Merchan:</t>
        </r>
        <r>
          <rPr>
            <sz val="9"/>
            <color indexed="81"/>
            <rFont val="Tahoma"/>
            <family val="2"/>
          </rPr>
          <t xml:space="preserve">
En SINERGIA no había datos, pero ya lo aplicaron</t>
        </r>
      </text>
    </comment>
    <comment ref="N76" authorId="0" shapeId="0" xr:uid="{00000000-0006-0000-0400-00005D000000}">
      <text>
        <r>
          <rPr>
            <b/>
            <sz val="9"/>
            <color indexed="81"/>
            <rFont val="Tahoma"/>
            <family val="2"/>
          </rPr>
          <t>Sonia Esperanza Casas Merchan:</t>
        </r>
        <r>
          <rPr>
            <sz val="9"/>
            <color indexed="81"/>
            <rFont val="Tahoma"/>
            <family val="2"/>
          </rPr>
          <t xml:space="preserve">
En SINERGIA no había datos, pero ya lo aplicaron</t>
        </r>
      </text>
    </comment>
    <comment ref="Q76" authorId="0" shapeId="0" xr:uid="{00000000-0006-0000-0400-00005E000000}">
      <text>
        <r>
          <rPr>
            <b/>
            <sz val="9"/>
            <color indexed="81"/>
            <rFont val="Tahoma"/>
            <family val="2"/>
          </rPr>
          <t>Sonia Esperanza Casas Merchan:</t>
        </r>
        <r>
          <rPr>
            <sz val="9"/>
            <color indexed="81"/>
            <rFont val="Tahoma"/>
            <family val="2"/>
          </rPr>
          <t xml:space="preserve">
En SINERGIA no había datos, pero ya lo aplicaron</t>
        </r>
      </text>
    </comment>
    <comment ref="W76" authorId="0" shapeId="0" xr:uid="{00000000-0006-0000-0400-00005F000000}">
      <text>
        <r>
          <rPr>
            <b/>
            <sz val="9"/>
            <color indexed="81"/>
            <rFont val="Tahoma"/>
            <family val="2"/>
          </rPr>
          <t>Sonia Esperanza Casas Merchan:</t>
        </r>
        <r>
          <rPr>
            <sz val="9"/>
            <color indexed="81"/>
            <rFont val="Tahoma"/>
            <family val="2"/>
          </rPr>
          <t xml:space="preserve">
En SINERGIA no había datos, pero ya lo aplicaron</t>
        </r>
      </text>
    </comment>
    <comment ref="Y76" authorId="0" shapeId="0" xr:uid="{00000000-0006-0000-0400-000060000000}">
      <text>
        <r>
          <rPr>
            <b/>
            <sz val="9"/>
            <color indexed="81"/>
            <rFont val="Tahoma"/>
            <family val="2"/>
          </rPr>
          <t>Sonia Esperanza Casas Merchan:</t>
        </r>
        <r>
          <rPr>
            <sz val="9"/>
            <color indexed="81"/>
            <rFont val="Tahoma"/>
            <family val="2"/>
          </rPr>
          <t xml:space="preserve">
se ajustó de 1.210 a 3.135 </t>
        </r>
      </text>
    </comment>
    <comment ref="AD76" authorId="0" shapeId="0" xr:uid="{00000000-0006-0000-0400-000061000000}">
      <text>
        <r>
          <rPr>
            <b/>
            <sz val="9"/>
            <color indexed="81"/>
            <rFont val="Tahoma"/>
            <family val="2"/>
          </rPr>
          <t>Sonia Esperanza Casas Merchan:</t>
        </r>
        <r>
          <rPr>
            <sz val="9"/>
            <color indexed="81"/>
            <rFont val="Tahoma"/>
            <family val="2"/>
          </rPr>
          <t xml:space="preserve">
En SINERGIA no había datos, pero ya lo aplicaron</t>
        </r>
      </text>
    </comment>
    <comment ref="J77" authorId="0" shapeId="0" xr:uid="{00000000-0006-0000-0400-000062000000}">
      <text>
        <r>
          <rPr>
            <b/>
            <sz val="9"/>
            <color indexed="81"/>
            <rFont val="Tahoma"/>
            <family val="2"/>
          </rPr>
          <t>Sonia Esperanza Casas Merchan:</t>
        </r>
        <r>
          <rPr>
            <sz val="9"/>
            <color indexed="81"/>
            <rFont val="Tahoma"/>
            <family val="2"/>
          </rPr>
          <t xml:space="preserve">
Inicialmente era de capacidad y en oficio 2 de 2018 se pidió cambio del tipo de ac a Flujo; YA APROBADO POR DNP</t>
        </r>
      </text>
    </comment>
    <comment ref="N77" authorId="0" shapeId="0" xr:uid="{00000000-0006-0000-0400-000063000000}">
      <text>
        <r>
          <rPr>
            <b/>
            <sz val="9"/>
            <color indexed="81"/>
            <rFont val="Tahoma"/>
            <family val="2"/>
          </rPr>
          <t>Sonia Esperanza Casas Merchan:</t>
        </r>
        <r>
          <rPr>
            <sz val="9"/>
            <color indexed="81"/>
            <rFont val="Tahoma"/>
            <family val="2"/>
          </rPr>
          <t xml:space="preserve">
La LB en SINERGIA figura como 94 y es 12 la inicial; no obstante, nunk autorizaron cambio de meta por tanto, quedó como 94; lo subsanaron con el cambio del tipo de acumulación</t>
        </r>
      </text>
    </comment>
    <comment ref="M78" authorId="0" shapeId="0" xr:uid="{00000000-0006-0000-0400-000064000000}">
      <text>
        <r>
          <rPr>
            <b/>
            <sz val="9"/>
            <color indexed="81"/>
            <rFont val="Tahoma"/>
            <family val="2"/>
          </rPr>
          <t>Sonia Esperanza Casas Merchan:</t>
        </r>
        <r>
          <rPr>
            <sz val="9"/>
            <color indexed="81"/>
            <rFont val="Tahoma"/>
            <family val="2"/>
          </rPr>
          <t xml:space="preserve">
SIN DATO EN SINERGIA</t>
        </r>
      </text>
    </comment>
    <comment ref="N78" authorId="0" shapeId="0" xr:uid="{00000000-0006-0000-0400-000065000000}">
      <text>
        <r>
          <rPr>
            <b/>
            <sz val="9"/>
            <color indexed="81"/>
            <rFont val="Tahoma"/>
            <family val="2"/>
          </rPr>
          <t>Sonia Esperanza Casas Merchan:</t>
        </r>
        <r>
          <rPr>
            <sz val="9"/>
            <color indexed="81"/>
            <rFont val="Tahoma"/>
            <family val="2"/>
          </rPr>
          <t xml:space="preserve">
En SINERGIA no existe dato</t>
        </r>
      </text>
    </comment>
    <comment ref="T78" authorId="0" shapeId="0" xr:uid="{00000000-0006-0000-0400-000066000000}">
      <text>
        <r>
          <rPr>
            <b/>
            <sz val="9"/>
            <color indexed="81"/>
            <rFont val="Tahoma"/>
            <family val="2"/>
          </rPr>
          <t>Sonia Esperanza Casas Merchan:</t>
        </r>
        <r>
          <rPr>
            <sz val="9"/>
            <color indexed="81"/>
            <rFont val="Tahoma"/>
            <family val="2"/>
          </rPr>
          <t xml:space="preserve">
EN SINERGIA APARECE EN 0</t>
        </r>
      </text>
    </comment>
    <comment ref="N80" authorId="0" shapeId="0" xr:uid="{00000000-0006-0000-0400-000067000000}">
      <text>
        <r>
          <rPr>
            <b/>
            <sz val="9"/>
            <color indexed="81"/>
            <rFont val="Tahoma"/>
            <family val="2"/>
          </rPr>
          <t>Sonia Esperanza Casas Merchan:</t>
        </r>
        <r>
          <rPr>
            <sz val="9"/>
            <color indexed="81"/>
            <rFont val="Tahoma"/>
            <family val="2"/>
          </rPr>
          <t xml:space="preserve">
En SINERGIA no hay dato</t>
        </r>
      </text>
    </comment>
    <comment ref="AD80" authorId="0" shapeId="0" xr:uid="{00000000-0006-0000-0400-000068000000}">
      <text>
        <r>
          <rPr>
            <b/>
            <sz val="9"/>
            <color indexed="81"/>
            <rFont val="Tahoma"/>
            <family val="2"/>
          </rPr>
          <t>Sonia Esperanza Casas Merchan:</t>
        </r>
        <r>
          <rPr>
            <sz val="9"/>
            <color indexed="81"/>
            <rFont val="Tahoma"/>
            <family val="2"/>
          </rPr>
          <t xml:space="preserve">
En SINERGIA no hay dATO</t>
        </r>
      </text>
    </comment>
    <comment ref="G81" authorId="1" shapeId="0" xr:uid="{00000000-0006-0000-0400-000069000000}">
      <text>
        <r>
          <rPr>
            <b/>
            <sz val="9"/>
            <color indexed="81"/>
            <rFont val="Tahoma"/>
            <family val="2"/>
          </rPr>
          <t>SoniaCasas:</t>
        </r>
        <r>
          <rPr>
            <sz val="9"/>
            <color indexed="81"/>
            <rFont val="Tahoma"/>
            <family val="2"/>
          </rPr>
          <t xml:space="preserve">
no es de PND es de CONPES</t>
        </r>
      </text>
    </comment>
    <comment ref="G82" authorId="0" shapeId="0" xr:uid="{00000000-0006-0000-0400-00006A000000}">
      <text>
        <r>
          <rPr>
            <b/>
            <sz val="9"/>
            <color indexed="81"/>
            <rFont val="Tahoma"/>
            <family val="2"/>
          </rPr>
          <t>Sonia Esperanza Casas Merchan:</t>
        </r>
        <r>
          <rPr>
            <sz val="9"/>
            <color indexed="81"/>
            <rFont val="Tahoma"/>
            <family val="2"/>
          </rPr>
          <t xml:space="preserve">
NO VISIBLE EN SINERGIA</t>
        </r>
      </text>
    </comment>
    <comment ref="G83" authorId="0" shapeId="0" xr:uid="{00000000-0006-0000-0400-00006B000000}">
      <text>
        <r>
          <rPr>
            <b/>
            <sz val="9"/>
            <color indexed="81"/>
            <rFont val="Tahoma"/>
            <family val="2"/>
          </rPr>
          <t xml:space="preserve">NO VISIBLE EN SINERGIA </t>
        </r>
        <r>
          <rPr>
            <sz val="9"/>
            <color indexed="81"/>
            <rFont val="Tahoma"/>
            <family val="2"/>
          </rPr>
          <t>Se cambió de nombre; antes era
Porcentaje de niños y niñas atendidos en educación inicial en el marco de la atención integral que cuentan con las 8 atenciones priorizadas</t>
        </r>
      </text>
    </comment>
    <comment ref="G84" authorId="0" shapeId="0" xr:uid="{00000000-0006-0000-0400-00006C000000}">
      <text>
        <r>
          <rPr>
            <b/>
            <sz val="9"/>
            <color indexed="81"/>
            <rFont val="Tahoma"/>
            <family val="2"/>
          </rPr>
          <t>Sonia Esperanza Casas Merchan:</t>
        </r>
        <r>
          <rPr>
            <sz val="9"/>
            <color indexed="81"/>
            <rFont val="Tahoma"/>
            <family val="2"/>
          </rPr>
          <t xml:space="preserve">
NO VISIBLE EN SINERGIA</t>
        </r>
      </text>
    </comment>
    <comment ref="G85" authorId="0" shapeId="0" xr:uid="{00000000-0006-0000-0400-00006D000000}">
      <text>
        <r>
          <rPr>
            <b/>
            <sz val="9"/>
            <color indexed="81"/>
            <rFont val="Tahoma"/>
            <family val="2"/>
          </rPr>
          <t>Sonia Esperanza Casas Merchan:</t>
        </r>
        <r>
          <rPr>
            <sz val="9"/>
            <color indexed="81"/>
            <rFont val="Tahoma"/>
            <family val="2"/>
          </rPr>
          <t xml:space="preserve">
NO VISIBLE EN SINERGIA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Sonia Esperanza Casas Merchan</author>
    <author>SoniaCasas</author>
  </authors>
  <commentList>
    <comment ref="S8" authorId="0" shapeId="0" xr:uid="{054851E7-2991-4D96-A38C-8D9CAFC7D641}">
      <text>
        <r>
          <rPr>
            <b/>
            <sz val="9"/>
            <color indexed="81"/>
            <rFont val="Tahoma"/>
            <family val="2"/>
          </rPr>
          <t>Sonia Esperanza Casas Merchan:</t>
        </r>
        <r>
          <rPr>
            <sz val="9"/>
            <color indexed="81"/>
            <rFont val="Tahoma"/>
            <family val="2"/>
          </rPr>
          <t xml:space="preserve">
INCONSISTENCIA EN SINERGIA, APARECE CON 31,2% ES DECIR, EVALUADO COMO DE CAPACIDAD</t>
        </r>
      </text>
    </comment>
    <comment ref="F10" authorId="0" shapeId="0" xr:uid="{85346B31-E485-4E09-8CFC-959829141090}">
      <text>
        <r>
          <rPr>
            <b/>
            <sz val="9"/>
            <color indexed="81"/>
            <rFont val="Tahoma"/>
            <family val="2"/>
          </rPr>
          <t>Sonia Esperanza Casas Merchan:</t>
        </r>
        <r>
          <rPr>
            <sz val="9"/>
            <color indexed="81"/>
            <rFont val="Tahoma"/>
            <family val="2"/>
          </rPr>
          <t xml:space="preserve">
Se había solicitado ajuste a 5,59% en el oficio No. 1, pero no se viabilizó sino solo para 2016. queda inconsistente la serie.</t>
        </r>
      </text>
    </comment>
    <comment ref="D11" authorId="0" shapeId="0" xr:uid="{4DBE419B-D14B-448E-90B4-29073156E04D}">
      <text>
        <r>
          <rPr>
            <b/>
            <sz val="9"/>
            <color indexed="81"/>
            <rFont val="Tahoma"/>
            <family val="2"/>
          </rPr>
          <t>Sonia Esperanza Casas Merchan:</t>
        </r>
        <r>
          <rPr>
            <sz val="9"/>
            <color indexed="81"/>
            <rFont val="Tahoma"/>
            <family val="2"/>
          </rPr>
          <t xml:space="preserve">
suma la LB</t>
        </r>
      </text>
    </comment>
    <comment ref="D12" authorId="0" shapeId="0" xr:uid="{17A20EFD-79E7-4279-963D-6D9CC1DA3743}">
      <text>
        <r>
          <rPr>
            <b/>
            <sz val="9"/>
            <color indexed="81"/>
            <rFont val="Tahoma"/>
            <family val="2"/>
          </rPr>
          <t>Sonia Esperanza Casas Merchan:</t>
        </r>
        <r>
          <rPr>
            <sz val="9"/>
            <color indexed="81"/>
            <rFont val="Tahoma"/>
            <family val="2"/>
          </rPr>
          <t xml:space="preserve">
La MC inicial es del 86,31%, se solicitó reducción, fue aprobada por DNP en 2015 y aplicada en SINERGIA</t>
        </r>
      </text>
    </comment>
    <comment ref="E12" authorId="0" shapeId="0" xr:uid="{927FC6B3-B80D-4511-81A3-8E6F8E07038C}">
      <text>
        <r>
          <rPr>
            <b/>
            <sz val="9"/>
            <color indexed="81"/>
            <rFont val="Tahoma"/>
            <family val="2"/>
          </rPr>
          <t>Sonia Esperanza Casas Merchan:</t>
        </r>
        <r>
          <rPr>
            <sz val="9"/>
            <color indexed="81"/>
            <rFont val="Tahoma"/>
            <family val="2"/>
          </rPr>
          <t xml:space="preserve">
La LB inicial era de 71,7% y se solicitó ajustar a 71,47%, aprobado por DNP en 2015 y aplicado en SINERGIA</t>
        </r>
      </text>
    </comment>
    <comment ref="F12" authorId="0" shapeId="0" xr:uid="{CAA844B8-6C28-445C-8154-99475C66E53F}">
      <text>
        <r>
          <rPr>
            <b/>
            <sz val="9"/>
            <color indexed="81"/>
            <rFont val="Tahoma"/>
            <family val="2"/>
          </rPr>
          <t>Sonia Esperanza Casas Merchan:</t>
        </r>
        <r>
          <rPr>
            <sz val="9"/>
            <color indexed="81"/>
            <rFont val="Tahoma"/>
            <family val="2"/>
          </rPr>
          <t xml:space="preserve">
En SINERGIA no había dato; ya lo incluyeron</t>
        </r>
      </text>
    </comment>
    <comment ref="I12" authorId="0" shapeId="0" xr:uid="{75FCD61B-E024-42FE-9A0D-53C426B09B19}">
      <text>
        <r>
          <rPr>
            <b/>
            <sz val="9"/>
            <color indexed="81"/>
            <rFont val="Tahoma"/>
            <family val="2"/>
          </rPr>
          <t>Sonia Esperanza Casas Merchan:</t>
        </r>
        <r>
          <rPr>
            <sz val="9"/>
            <color indexed="81"/>
            <rFont val="Tahoma"/>
            <family val="2"/>
          </rPr>
          <t xml:space="preserve">
En SINERGIA no había dato; ya lo incluyeron</t>
        </r>
      </text>
    </comment>
    <comment ref="O12" authorId="0" shapeId="0" xr:uid="{F1DCA931-95AC-44F6-BF06-726B60DFCCB1}">
      <text>
        <r>
          <rPr>
            <b/>
            <sz val="9"/>
            <color indexed="81"/>
            <rFont val="Tahoma"/>
            <family val="2"/>
          </rPr>
          <t>Sonia Esperanza Casas Merchan:</t>
        </r>
        <r>
          <rPr>
            <sz val="9"/>
            <color indexed="81"/>
            <rFont val="Tahoma"/>
            <family val="2"/>
          </rPr>
          <t xml:space="preserve">
En SINERGIA no había dato; ya lo incluyeron</t>
        </r>
      </text>
    </comment>
    <comment ref="V12" authorId="0" shapeId="0" xr:uid="{717F1F18-A2FA-402D-9794-2409EDC3F386}">
      <text>
        <r>
          <rPr>
            <b/>
            <sz val="9"/>
            <color indexed="81"/>
            <rFont val="Tahoma"/>
            <family val="2"/>
          </rPr>
          <t>Sonia Esperanza Casas Merchan:</t>
        </r>
        <r>
          <rPr>
            <sz val="9"/>
            <color indexed="81"/>
            <rFont val="Tahoma"/>
            <family val="2"/>
          </rPr>
          <t xml:space="preserve">
En SINERGIA no había dato; ya lo incluyeron, pero no es lo ajustado</t>
        </r>
      </text>
    </comment>
    <comment ref="D13" authorId="0" shapeId="0" xr:uid="{B76E7C23-C0EB-44E0-A61A-649C0EB1E988}">
      <text>
        <r>
          <rPr>
            <b/>
            <sz val="9"/>
            <color indexed="81"/>
            <rFont val="Tahoma"/>
            <family val="2"/>
          </rPr>
          <t>Sonia Esperanza Casas Merchan:</t>
        </r>
        <r>
          <rPr>
            <sz val="9"/>
            <color indexed="81"/>
            <rFont val="Tahoma"/>
            <family val="2"/>
          </rPr>
          <t xml:space="preserve">
La MC inicial es de 84,33%; se solicitó reducción a 71,13% con justificación técnica, fue autorizada inicialmente por DNP; pero en oficio 20183600279821 del 4/05/18 informan que es inviable; queda meta inconsistente</t>
        </r>
      </text>
    </comment>
    <comment ref="E13" authorId="0" shapeId="0" xr:uid="{FFBA9982-9980-4491-8877-62B03C84A93D}">
      <text>
        <r>
          <rPr>
            <b/>
            <sz val="9"/>
            <color indexed="81"/>
            <rFont val="Tahoma"/>
            <family val="2"/>
          </rPr>
          <t>Sonia Esperanza Casas Merchan:</t>
        </r>
        <r>
          <rPr>
            <sz val="9"/>
            <color indexed="81"/>
            <rFont val="Tahoma"/>
            <family val="2"/>
          </rPr>
          <t xml:space="preserve">
La LB inicial era de 73% y se solicitó ajuste a 60,74% aprobado inicialmente por DNP en 2015; mediante oficio 20183600279821 del 04/05 responden que es inviable; por lo que queda inconsistente</t>
        </r>
      </text>
    </comment>
    <comment ref="F13" authorId="0" shapeId="0" xr:uid="{F6E7A766-4F1C-463D-8924-2CD208AD74FB}">
      <text>
        <r>
          <rPr>
            <b/>
            <sz val="9"/>
            <color indexed="81"/>
            <rFont val="Tahoma"/>
            <family val="2"/>
          </rPr>
          <t>Sonia Esperanza Casas Merchan:</t>
        </r>
        <r>
          <rPr>
            <sz val="9"/>
            <color indexed="81"/>
            <rFont val="Tahoma"/>
            <family val="2"/>
          </rPr>
          <t xml:space="preserve">
En SINERGIA aparece 77,54%; se solicitó la reducción en oficio No. 1 a  70,70%. Mediante oficio 20183600279821 del 04/05 DNP responde que es inviable y queda como estaba inicialmente.</t>
        </r>
      </text>
    </comment>
    <comment ref="I13" authorId="0" shapeId="0" xr:uid="{E68190BF-669F-4720-9E84-D5AB4B618B8B}">
      <text>
        <r>
          <rPr>
            <b/>
            <sz val="9"/>
            <color indexed="81"/>
            <rFont val="Tahoma"/>
            <family val="2"/>
          </rPr>
          <t>Sonia Esperanza Casas Merchan:</t>
        </r>
        <r>
          <rPr>
            <sz val="9"/>
            <color indexed="81"/>
            <rFont val="Tahoma"/>
            <family val="2"/>
          </rPr>
          <t xml:space="preserve">
La LB inicial era de 79,80%, Se solicitó reajuste a 70,50% inicialmente aprobado por DNP; mediante oficio 20183600279821 del 04/05 responden que es inviable y no se ajustan los cambios</t>
        </r>
      </text>
    </comment>
    <comment ref="O13" authorId="0" shapeId="0" xr:uid="{DBA1AB2D-7C03-4DE4-91BD-F235EEC16AF4}">
      <text>
        <r>
          <rPr>
            <b/>
            <sz val="9"/>
            <color indexed="81"/>
            <rFont val="Tahoma"/>
            <family val="2"/>
          </rPr>
          <t>Sonia Esperanza Casas Merchan:</t>
        </r>
        <r>
          <rPr>
            <sz val="9"/>
            <color indexed="81"/>
            <rFont val="Tahoma"/>
            <family val="2"/>
          </rPr>
          <t xml:space="preserve">
En SINERGIA aparece como 82,07%, se solicitó la reducción de la MC y anuales  a 70,93%; no obstante, mediante oficio 20183600279821 del 04/05 se responde que es INVIABLE el cambio; queda con datos iniciales</t>
        </r>
      </text>
    </comment>
    <comment ref="V13" authorId="0" shapeId="0" xr:uid="{4AFEF54F-2D18-474D-80A6-B87BC1217C27}">
      <text>
        <r>
          <rPr>
            <b/>
            <sz val="9"/>
            <color indexed="81"/>
            <rFont val="Tahoma"/>
            <family val="2"/>
          </rPr>
          <t>Sonia Esperanza Casas Merchan:</t>
        </r>
        <r>
          <rPr>
            <sz val="9"/>
            <color indexed="81"/>
            <rFont val="Tahoma"/>
            <family val="2"/>
          </rPr>
          <t xml:space="preserve">
la meta inicial era 84,33% se solicitó ajuste a 71,13%, pero el DNP mediante oficio 20183600279821 del 04/05 responde que es INVIABLE el ajuste; por tanto queda con los datos iniciales</t>
        </r>
      </text>
    </comment>
    <comment ref="D14" authorId="0" shapeId="0" xr:uid="{A64985B2-6E63-457C-9A69-EBF34D38DED4}">
      <text>
        <r>
          <rPr>
            <b/>
            <sz val="9"/>
            <color indexed="81"/>
            <rFont val="Tahoma"/>
            <family val="2"/>
          </rPr>
          <t>Sonia Esperanza Casas Merchan:</t>
        </r>
        <r>
          <rPr>
            <sz val="9"/>
            <color indexed="81"/>
            <rFont val="Tahoma"/>
            <family val="2"/>
          </rPr>
          <t xml:space="preserve">
Esta meta tiene solicitud de ajuste  de 135.694 a 113.658, aprobada por DNP  en 2015 y pendiente por aplicar.</t>
        </r>
      </text>
    </comment>
    <comment ref="F14" authorId="0" shapeId="0" xr:uid="{96E2D1A5-DFFB-49A7-8F86-5370EDDCBC89}">
      <text>
        <r>
          <rPr>
            <b/>
            <sz val="9"/>
            <color indexed="81"/>
            <rFont val="Tahoma"/>
            <family val="2"/>
          </rPr>
          <t>Sonia Esperanza Casas Merchan:</t>
        </r>
        <r>
          <rPr>
            <sz val="9"/>
            <color indexed="81"/>
            <rFont val="Tahoma"/>
            <family val="2"/>
          </rPr>
          <t xml:space="preserve">
En SINERGIA aparece como 120.180, pero al aprobarse la reducción, debe ajustarse a 110.658</t>
        </r>
      </text>
    </comment>
    <comment ref="I14" authorId="0" shapeId="0" xr:uid="{D052BF3B-A8CB-48AD-8D16-9447FA54757A}">
      <text>
        <r>
          <rPr>
            <b/>
            <sz val="9"/>
            <color indexed="81"/>
            <rFont val="Tahoma"/>
            <family val="2"/>
          </rPr>
          <t>Sonia Esperanza Casas Merchan:</t>
        </r>
        <r>
          <rPr>
            <sz val="9"/>
            <color indexed="81"/>
            <rFont val="Tahoma"/>
            <family val="2"/>
          </rPr>
          <t xml:space="preserve">
En SINERGIA aparece como 125.441, pero al aprobarse la reducción se ajusta la meta a 111.658</t>
        </r>
      </text>
    </comment>
    <comment ref="O14" authorId="0" shapeId="0" xr:uid="{E966A1C1-0003-4EB8-9658-2E42FA4909E6}">
      <text>
        <r>
          <rPr>
            <b/>
            <sz val="9"/>
            <color indexed="81"/>
            <rFont val="Tahoma"/>
            <family val="2"/>
          </rPr>
          <t>Sonia Esperanza Casas Merchan:</t>
        </r>
        <r>
          <rPr>
            <sz val="9"/>
            <color indexed="81"/>
            <rFont val="Tahoma"/>
            <family val="2"/>
          </rPr>
          <t xml:space="preserve">
En SINERGIA aparece como 130.703, pero al aprobarse la reducción de MC se ajusta a 112.658</t>
        </r>
      </text>
    </comment>
    <comment ref="V14" authorId="0" shapeId="0" xr:uid="{CDC2675E-2388-4EE1-BA08-0A1668AE1AF4}">
      <text>
        <r>
          <rPr>
            <b/>
            <sz val="9"/>
            <color indexed="81"/>
            <rFont val="Tahoma"/>
            <family val="2"/>
          </rPr>
          <t>Sonia Esperanza Casas Merchan:</t>
        </r>
        <r>
          <rPr>
            <sz val="9"/>
            <color indexed="81"/>
            <rFont val="Tahoma"/>
            <family val="2"/>
          </rPr>
          <t xml:space="preserve">
La M2018 está en 135.964 en SINERGIA; con el ajuste pasaría a 113.658</t>
        </r>
      </text>
    </comment>
    <comment ref="E16" authorId="0" shapeId="0" xr:uid="{6DE934A9-8E45-4819-83EE-878CC22F5460}">
      <text>
        <r>
          <rPr>
            <b/>
            <sz val="9"/>
            <color indexed="81"/>
            <rFont val="Tahoma"/>
            <family val="2"/>
          </rPr>
          <t>Sonia Esperanza Casas Merchan:</t>
        </r>
        <r>
          <rPr>
            <sz val="9"/>
            <color indexed="81"/>
            <rFont val="Tahoma"/>
            <family val="2"/>
          </rPr>
          <t xml:space="preserve">
se cambio lb</t>
        </r>
      </text>
    </comment>
    <comment ref="E17" authorId="0" shapeId="0" xr:uid="{AD44B09E-2164-44FF-B50C-32963943C717}">
      <text>
        <r>
          <rPr>
            <b/>
            <sz val="9"/>
            <color indexed="81"/>
            <rFont val="Tahoma"/>
            <family val="2"/>
          </rPr>
          <t>Sonia Esperanza Casas Merchan:</t>
        </r>
        <r>
          <rPr>
            <sz val="9"/>
            <color indexed="81"/>
            <rFont val="Tahoma"/>
            <family val="2"/>
          </rPr>
          <t xml:space="preserve">
La LB inicial era de 404.056 y se solicitó ajuste a 362.740 aprobado por DNP</t>
        </r>
      </text>
    </comment>
    <comment ref="E23" authorId="0" shapeId="0" xr:uid="{9DFF6930-E285-4DEB-9F5D-2195A85DA19C}">
      <text>
        <r>
          <rPr>
            <b/>
            <sz val="9"/>
            <color indexed="81"/>
            <rFont val="Tahoma"/>
            <family val="2"/>
          </rPr>
          <t>Sonia Esperanza Casas Merchan:</t>
        </r>
        <r>
          <rPr>
            <sz val="9"/>
            <color indexed="81"/>
            <rFont val="Tahoma"/>
            <family val="2"/>
          </rPr>
          <t xml:space="preserve">
La LB inicial era de 72,86% y se solicitó ajuste a 72,76% aprobado por DNP en 2015</t>
        </r>
      </text>
    </comment>
    <comment ref="D24" authorId="0" shapeId="0" xr:uid="{D1518888-9CA1-4E17-A989-FDFAA97388B7}">
      <text>
        <r>
          <rPr>
            <b/>
            <sz val="9"/>
            <color indexed="81"/>
            <rFont val="Tahoma"/>
            <family val="2"/>
          </rPr>
          <t>Sonia Esperanza Casas Merchan:</t>
        </r>
        <r>
          <rPr>
            <sz val="9"/>
            <color indexed="81"/>
            <rFont val="Tahoma"/>
            <family val="2"/>
          </rPr>
          <t xml:space="preserve">
La MC inicial era de 582.001; se solicitó ajuste a 500.798 NO SE HA DADO RESPUESTA DNP</t>
        </r>
      </text>
    </comment>
    <comment ref="E24" authorId="0" shapeId="0" xr:uid="{89D3F8F3-859C-4C68-9448-A12EF82C12E9}">
      <text>
        <r>
          <rPr>
            <b/>
            <sz val="9"/>
            <color indexed="81"/>
            <rFont val="Tahoma"/>
            <family val="2"/>
          </rPr>
          <t>Sonia Esperanza Casas Merchan:</t>
        </r>
        <r>
          <rPr>
            <sz val="9"/>
            <color indexed="81"/>
            <rFont val="Tahoma"/>
            <family val="2"/>
          </rPr>
          <t xml:space="preserve">
La LB inicial era 492.798 y se solicitó ajuste a 432.372. NO SE HA TENIDO RESPUESTA POR DNP- Pendiente aplicar</t>
        </r>
      </text>
    </comment>
    <comment ref="V24" authorId="0" shapeId="0" xr:uid="{A34FF249-370C-4C8E-BAD8-5B970E045A64}">
      <text>
        <r>
          <rPr>
            <b/>
            <sz val="9"/>
            <color indexed="81"/>
            <rFont val="Tahoma"/>
            <family val="2"/>
          </rPr>
          <t>Sonia Esperanza Casas Merchan:</t>
        </r>
        <r>
          <rPr>
            <sz val="9"/>
            <color indexed="81"/>
            <rFont val="Tahoma"/>
            <family val="2"/>
          </rPr>
          <t xml:space="preserve">
De aprobarse el ajuste por DNP cambiar{ia a 500.798</t>
        </r>
      </text>
    </comment>
    <comment ref="D26" authorId="0" shapeId="0" xr:uid="{26B4F344-B0A7-401C-916B-305CAABB1ABA}">
      <text>
        <r>
          <rPr>
            <b/>
            <sz val="9"/>
            <color indexed="81"/>
            <rFont val="Tahoma"/>
            <family val="2"/>
          </rPr>
          <t>Sonia Esperanza Casas Merchan:</t>
        </r>
        <r>
          <rPr>
            <sz val="9"/>
            <color indexed="81"/>
            <rFont val="Tahoma"/>
            <family val="2"/>
          </rPr>
          <t xml:space="preserve">
se solicitó ajuste de 457.081 a 553.408, no respondido ni ajustado en Sinergia</t>
        </r>
      </text>
    </comment>
    <comment ref="E26" authorId="0" shapeId="0" xr:uid="{673720DD-9B51-4853-82A3-A5CAA78FA660}">
      <text>
        <r>
          <rPr>
            <b/>
            <sz val="9"/>
            <color indexed="81"/>
            <rFont val="Tahoma"/>
            <family val="2"/>
          </rPr>
          <t>Sonia Esperanza Casas Merchan:</t>
        </r>
        <r>
          <rPr>
            <sz val="9"/>
            <color indexed="81"/>
            <rFont val="Tahoma"/>
            <family val="2"/>
          </rPr>
          <t xml:space="preserve">
La LB inicial era 659.000 y se solicitó ajustar a 690.512, aprobado por DNP en 2015 y pendiente por aplicar en SINERGIA</t>
        </r>
      </text>
    </comment>
    <comment ref="F26" authorId="0" shapeId="0" xr:uid="{9C4CE54F-D6C3-4A0C-BFFB-EB2C86379762}">
      <text>
        <r>
          <rPr>
            <b/>
            <sz val="9"/>
            <color indexed="81"/>
            <rFont val="Tahoma"/>
            <family val="2"/>
          </rPr>
          <t>Sonia Esperanza Casas Merchan:</t>
        </r>
        <r>
          <rPr>
            <sz val="9"/>
            <color indexed="81"/>
            <rFont val="Tahoma"/>
            <family val="2"/>
          </rPr>
          <t xml:space="preserve">
En SINERGIA no hay dato</t>
        </r>
      </text>
    </comment>
    <comment ref="I26" authorId="0" shapeId="0" xr:uid="{2A3DF11D-5D27-472E-9EFA-23B1D603AA36}">
      <text>
        <r>
          <rPr>
            <b/>
            <sz val="9"/>
            <color indexed="81"/>
            <rFont val="Tahoma"/>
            <family val="2"/>
          </rPr>
          <t>Sonia Esperanza Casas Merchan:</t>
        </r>
        <r>
          <rPr>
            <sz val="9"/>
            <color indexed="81"/>
            <rFont val="Tahoma"/>
            <family val="2"/>
          </rPr>
          <t xml:space="preserve">
En SINERGIA no se identifican datos</t>
        </r>
      </text>
    </comment>
    <comment ref="O26" authorId="0" shapeId="0" xr:uid="{BAD0FD03-F076-4944-869D-7A4DAFCA4812}">
      <text>
        <r>
          <rPr>
            <b/>
            <sz val="9"/>
            <color indexed="81"/>
            <rFont val="Tahoma"/>
            <family val="2"/>
          </rPr>
          <t>Sonia Esperanza Casas Merchan:</t>
        </r>
        <r>
          <rPr>
            <sz val="9"/>
            <color indexed="81"/>
            <rFont val="Tahoma"/>
            <family val="2"/>
          </rPr>
          <t xml:space="preserve">
En SINERGIA no se identifican datos</t>
        </r>
      </text>
    </comment>
    <comment ref="V26" authorId="0" shapeId="0" xr:uid="{3DAA161A-5830-4EDB-92F0-2657FB75ADE3}">
      <text>
        <r>
          <rPr>
            <b/>
            <sz val="9"/>
            <color indexed="81"/>
            <rFont val="Tahoma"/>
            <family val="2"/>
          </rPr>
          <t>Sonia Esperanza Casas Merchan:</t>
        </r>
        <r>
          <rPr>
            <sz val="9"/>
            <color indexed="81"/>
            <rFont val="Tahoma"/>
            <family val="2"/>
          </rPr>
          <t xml:space="preserve">
En SINERGIA no hay dato</t>
        </r>
      </text>
    </comment>
    <comment ref="G27" authorId="0" shapeId="0" xr:uid="{9180C241-AFF3-46B9-831A-2B112E04F5E6}">
      <text>
        <r>
          <rPr>
            <b/>
            <sz val="9"/>
            <color indexed="81"/>
            <rFont val="Tahoma"/>
            <family val="2"/>
          </rPr>
          <t>Sonia Esperanza Casas Merchan:</t>
        </r>
        <r>
          <rPr>
            <sz val="9"/>
            <color indexed="81"/>
            <rFont val="Tahoma"/>
            <family val="2"/>
          </rPr>
          <t xml:space="preserve">
era 1977 se ajustó a 2,772</t>
        </r>
      </text>
    </comment>
    <comment ref="X27" authorId="0" shapeId="0" xr:uid="{A03B3CA0-083D-43E8-9C6E-EE741B9A3871}">
      <text>
        <r>
          <rPr>
            <b/>
            <sz val="9"/>
            <color indexed="81"/>
            <rFont val="Tahoma"/>
            <family val="2"/>
          </rPr>
          <t xml:space="preserve">Sonia Esperanza Casas Merchan:
</t>
        </r>
        <r>
          <rPr>
            <sz val="9"/>
            <color indexed="81"/>
            <rFont val="Tahoma"/>
            <family val="2"/>
          </rPr>
          <t>Total corte mayo (acum): 25.878 aulas (9.576 entregadas; 14.985 contratadas y 1.317 gestionadas)</t>
        </r>
      </text>
    </comment>
    <comment ref="D28" authorId="0" shapeId="0" xr:uid="{2D8D5372-40D6-4C71-8FD5-9FC32234E8B1}">
      <text>
        <r>
          <rPr>
            <b/>
            <sz val="9"/>
            <color indexed="81"/>
            <rFont val="Tahoma"/>
            <family val="2"/>
          </rPr>
          <t>Sonia Esperanza Casas Merchan:</t>
        </r>
        <r>
          <rPr>
            <sz val="9"/>
            <color indexed="81"/>
            <rFont val="Tahoma"/>
            <family val="2"/>
          </rPr>
          <t xml:space="preserve">
En SINERGIA aparece como 71,07% pero por datos en serie debe ajustarse a 57,79%</t>
        </r>
      </text>
    </comment>
    <comment ref="A35" authorId="1" shapeId="0" xr:uid="{258F37D0-33C9-48B2-A0C2-5442CACB29C2}">
      <text>
        <r>
          <rPr>
            <b/>
            <sz val="9"/>
            <color indexed="81"/>
            <rFont val="Tahoma"/>
            <family val="2"/>
          </rPr>
          <t>SoniaCasas:</t>
        </r>
        <r>
          <rPr>
            <sz val="9"/>
            <color indexed="81"/>
            <rFont val="Tahoma"/>
            <family val="2"/>
          </rPr>
          <t xml:space="preserve">
En el TC Presidente figura como Número de docentes por tutor (PTA)</t>
        </r>
      </text>
    </comment>
    <comment ref="K35" authorId="0" shapeId="0" xr:uid="{AE87F5E7-2244-4469-B421-A5132F5D8B4D}">
      <text>
        <r>
          <rPr>
            <b/>
            <sz val="9"/>
            <color indexed="81"/>
            <rFont val="Tahoma"/>
            <family val="2"/>
          </rPr>
          <t>Sonia Esperanza Casas Merchan:</t>
        </r>
        <r>
          <rPr>
            <sz val="9"/>
            <color indexed="81"/>
            <rFont val="Tahoma"/>
            <family val="2"/>
          </rPr>
          <t xml:space="preserve">
Avance 2016 es 26,11 figura en sinergia como 25,85</t>
        </r>
      </text>
    </comment>
    <comment ref="A37" authorId="1" shapeId="0" xr:uid="{39125FFB-F7AF-4A8D-A0CF-9496636FFC13}">
      <text>
        <r>
          <rPr>
            <b/>
            <sz val="9"/>
            <color indexed="81"/>
            <rFont val="Tahoma"/>
            <family val="2"/>
          </rPr>
          <t>SoniaCasas:</t>
        </r>
        <r>
          <rPr>
            <sz val="9"/>
            <color indexed="81"/>
            <rFont val="Tahoma"/>
            <family val="2"/>
          </rPr>
          <t xml:space="preserve">
Se acompaña de otro denominado Docentes o aspirantes docentes beneficiados con recursos de la nación para mejorar su nivel de ofrmación a nivel de postgrado.</t>
        </r>
      </text>
    </comment>
    <comment ref="F37" authorId="1" shapeId="0" xr:uid="{3619321A-0824-43FC-8E42-2AC6080EB3D6}">
      <text>
        <r>
          <rPr>
            <b/>
            <sz val="9"/>
            <color indexed="81"/>
            <rFont val="Tahoma"/>
            <family val="2"/>
          </rPr>
          <t>SoniaCasas:</t>
        </r>
        <r>
          <rPr>
            <sz val="9"/>
            <color indexed="81"/>
            <rFont val="Tahoma"/>
            <family val="2"/>
          </rPr>
          <t xml:space="preserve">
meta en SINERGIA del 32%</t>
        </r>
      </text>
    </comment>
    <comment ref="E39" authorId="0" shapeId="0" xr:uid="{11E7F6F2-40C5-462C-8821-8C2283C62A5E}">
      <text>
        <r>
          <rPr>
            <b/>
            <sz val="9"/>
            <color indexed="81"/>
            <rFont val="Tahoma"/>
            <family val="2"/>
          </rPr>
          <t>Sonia Esperanza Casas Merchan:</t>
        </r>
        <r>
          <rPr>
            <sz val="9"/>
            <color indexed="81"/>
            <rFont val="Tahoma"/>
            <family val="2"/>
          </rPr>
          <t xml:space="preserve">
La LB inicial era de 4.293; se solicitó ajustar a 5.703- NO SE HA RECIBIDO RESPUESTA OFICIAL DNP- pendiente por aplicar en SINERGIA</t>
        </r>
      </text>
    </comment>
    <comment ref="D40" authorId="0" shapeId="0" xr:uid="{2A27242B-5F12-43B9-BFA2-28C0E512B2FE}">
      <text>
        <r>
          <rPr>
            <b/>
            <sz val="9"/>
            <color indexed="81"/>
            <rFont val="Tahoma"/>
            <family val="2"/>
          </rPr>
          <t>Sonia Esperanza Casas Merchan:</t>
        </r>
        <r>
          <rPr>
            <sz val="9"/>
            <color indexed="81"/>
            <rFont val="Tahoma"/>
            <family val="2"/>
          </rPr>
          <t xml:space="preserve">
la meta inicial es de 11,96% y no 12%
lb 9,4%; NO SE AUTORIZÓ CAMBIO DE META CUATRIENIO</t>
        </r>
      </text>
    </comment>
    <comment ref="E40" authorId="0" shapeId="0" xr:uid="{A8F1FB88-5785-4D6F-BB27-5632187647A8}">
      <text>
        <r>
          <rPr>
            <b/>
            <sz val="9"/>
            <color indexed="81"/>
            <rFont val="Tahoma"/>
            <family val="2"/>
          </rPr>
          <t>Sonia Esperanza Casas Merchan:</t>
        </r>
        <r>
          <rPr>
            <sz val="9"/>
            <color indexed="81"/>
            <rFont val="Tahoma"/>
            <family val="2"/>
          </rPr>
          <t xml:space="preserve">
Es 9,4% y no 94% como aparece en SINERGIA; se ajustó y ya aparece 9,4%</t>
        </r>
      </text>
    </comment>
    <comment ref="V40" authorId="0" shapeId="0" xr:uid="{8E480A84-87EB-4053-9939-27B0D1C90A33}">
      <text>
        <r>
          <rPr>
            <b/>
            <sz val="9"/>
            <color indexed="81"/>
            <rFont val="Tahoma"/>
            <family val="2"/>
          </rPr>
          <t>Sonia Esperanza Casas Merchan:</t>
        </r>
        <r>
          <rPr>
            <sz val="9"/>
            <color indexed="81"/>
            <rFont val="Tahoma"/>
            <family val="2"/>
          </rPr>
          <t xml:space="preserve">
En sinergia aparece como 12% debe ajustarse a 11,96%</t>
        </r>
      </text>
    </comment>
    <comment ref="K41" authorId="0" shapeId="0" xr:uid="{53ED921E-B042-4A8B-9B9D-0045F79F8189}">
      <text>
        <r>
          <rPr>
            <b/>
            <sz val="9"/>
            <color indexed="81"/>
            <rFont val="Tahoma"/>
            <family val="2"/>
          </rPr>
          <t>Sonia Esperanza Casas Merchan:</t>
        </r>
        <r>
          <rPr>
            <sz val="9"/>
            <color indexed="81"/>
            <rFont val="Tahoma"/>
            <family val="2"/>
          </rPr>
          <t xml:space="preserve">
Estaba en 4.230 pero correspondía a un reporte preliminar; el dato ajustado es 4.188 y pedimos que así se ajustara, pero en realidad después de contrastar contra el cualitativo el área técnica informa que es 4.128</t>
        </r>
      </text>
    </comment>
    <comment ref="Q41" authorId="0" shapeId="0" xr:uid="{138B350C-C7F1-4459-A2E7-5E3DAC8DC4F2}">
      <text>
        <r>
          <rPr>
            <b/>
            <sz val="9"/>
            <color indexed="81"/>
            <rFont val="Tahoma"/>
            <family val="2"/>
          </rPr>
          <t>Sonia Esperanza Casas Merchan:</t>
        </r>
        <r>
          <rPr>
            <sz val="9"/>
            <color indexed="81"/>
            <rFont val="Tahoma"/>
            <family val="2"/>
          </rPr>
          <t xml:space="preserve">
estaba en 4.083 en sinergia, pero ya fue ajustado</t>
        </r>
      </text>
    </comment>
    <comment ref="G48" authorId="0" shapeId="0" xr:uid="{5C956FB5-BDAE-4E26-B2F7-96688F653D6F}">
      <text>
        <r>
          <rPr>
            <b/>
            <sz val="9"/>
            <color indexed="81"/>
            <rFont val="Tahoma"/>
            <family val="2"/>
          </rPr>
          <t>Sonia Esperanza Casas Merchan:</t>
        </r>
        <r>
          <rPr>
            <sz val="9"/>
            <color indexed="81"/>
            <rFont val="Tahoma"/>
            <family val="2"/>
          </rPr>
          <t xml:space="preserve">
En SINERGIA está como 22%</t>
        </r>
      </text>
    </comment>
    <comment ref="K48" authorId="0" shapeId="0" xr:uid="{97AB9AE0-3E55-4235-8AF0-335A4D00F1C2}">
      <text>
        <r>
          <rPr>
            <b/>
            <sz val="9"/>
            <color indexed="81"/>
            <rFont val="Tahoma"/>
            <family val="2"/>
          </rPr>
          <t>Sonia Esperanza Casas Merchan:</t>
        </r>
        <r>
          <rPr>
            <sz val="9"/>
            <color indexed="81"/>
            <rFont val="Tahoma"/>
            <family val="2"/>
          </rPr>
          <t xml:space="preserve">
En SINERGIA está como 26%</t>
        </r>
      </text>
    </comment>
    <comment ref="Q48" authorId="0" shapeId="0" xr:uid="{5F920748-243D-4AD5-BAB9-6B80DFE1DDDC}">
      <text>
        <r>
          <rPr>
            <b/>
            <sz val="9"/>
            <color indexed="81"/>
            <rFont val="Tahoma"/>
            <family val="2"/>
          </rPr>
          <t>Sonia Esperanza Casas Merchan:</t>
        </r>
        <r>
          <rPr>
            <sz val="9"/>
            <color indexed="81"/>
            <rFont val="Tahoma"/>
            <family val="2"/>
          </rPr>
          <t xml:space="preserve">
en SINERGIA está como 53%</t>
        </r>
      </text>
    </comment>
    <comment ref="K51" authorId="0" shapeId="0" xr:uid="{74732968-945D-41AC-8890-9371D92A8BE6}">
      <text>
        <r>
          <rPr>
            <b/>
            <sz val="9"/>
            <color indexed="81"/>
            <rFont val="Tahoma"/>
            <family val="2"/>
          </rPr>
          <t>Sonia Esperanza Casas Merchan:</t>
        </r>
        <r>
          <rPr>
            <sz val="9"/>
            <color indexed="81"/>
            <rFont val="Tahoma"/>
            <family val="2"/>
          </rPr>
          <t xml:space="preserve">
En SINERGIA está en 11,3 y es preliminar, se pidió ajustar a 9,1</t>
        </r>
      </text>
    </comment>
    <comment ref="D52" authorId="0" shapeId="0" xr:uid="{9D3B77A1-94CB-4332-8394-74C1E6C9EC5A}">
      <text>
        <r>
          <rPr>
            <b/>
            <sz val="9"/>
            <color indexed="81"/>
            <rFont val="Tahoma"/>
            <family val="2"/>
          </rPr>
          <t>Sonia Esperanza Casas Merchan:</t>
        </r>
        <r>
          <rPr>
            <sz val="9"/>
            <color indexed="81"/>
            <rFont val="Tahoma"/>
            <family val="2"/>
          </rPr>
          <t xml:space="preserve">
suma la LB</t>
        </r>
      </text>
    </comment>
    <comment ref="Q52" authorId="0" shapeId="0" xr:uid="{C1533031-9620-461D-89C7-2731C4A0342F}">
      <text>
        <r>
          <rPr>
            <b/>
            <sz val="9"/>
            <color indexed="81"/>
            <rFont val="Tahoma"/>
            <family val="2"/>
          </rPr>
          <t>Sonia Esperanza Casas Merchan:</t>
        </r>
        <r>
          <rPr>
            <sz val="9"/>
            <color indexed="81"/>
            <rFont val="Tahoma"/>
            <family val="2"/>
          </rPr>
          <t xml:space="preserve">
indican que son 20.855</t>
        </r>
      </text>
    </comment>
    <comment ref="A56" authorId="1" shapeId="0" xr:uid="{6F4725CC-6D3C-49AE-988E-B10700757EEA}">
      <text>
        <r>
          <rPr>
            <b/>
            <sz val="9"/>
            <color indexed="81"/>
            <rFont val="Tahoma"/>
            <family val="2"/>
          </rPr>
          <t>SoniaCasas:</t>
        </r>
        <r>
          <rPr>
            <sz val="9"/>
            <color indexed="81"/>
            <rFont val="Tahoma"/>
            <family val="2"/>
          </rPr>
          <t xml:space="preserve">
En el TC Presidente figura como Número de departamentos con tasa de cobertura en Educación Superior por encima del 20%</t>
        </r>
      </text>
    </comment>
    <comment ref="K57" authorId="0" shapeId="0" xr:uid="{D7F4D7AA-7C7A-4688-B0DF-99983D9A2243}">
      <text>
        <r>
          <rPr>
            <b/>
            <sz val="9"/>
            <color indexed="81"/>
            <rFont val="Tahoma"/>
            <family val="2"/>
          </rPr>
          <t>Sonia Esperanza Casas Merchan:</t>
        </r>
        <r>
          <rPr>
            <sz val="9"/>
            <color indexed="81"/>
            <rFont val="Tahoma"/>
            <family val="2"/>
          </rPr>
          <t xml:space="preserve">
En SINERGIA está diferente</t>
        </r>
      </text>
    </comment>
    <comment ref="Q57" authorId="0" shapeId="0" xr:uid="{71413CA7-9B68-4EC3-B6B3-45B0D15A7AF5}">
      <text>
        <r>
          <rPr>
            <b/>
            <sz val="9"/>
            <color indexed="81"/>
            <rFont val="Tahoma"/>
            <family val="2"/>
          </rPr>
          <t>Sonia Esperanza Casas Merchan:</t>
        </r>
        <r>
          <rPr>
            <sz val="9"/>
            <color indexed="81"/>
            <rFont val="Tahoma"/>
            <family val="2"/>
          </rPr>
          <t xml:space="preserve">
</t>
        </r>
      </text>
    </comment>
    <comment ref="A58" authorId="1" shapeId="0" xr:uid="{B61183AC-8CF2-45A6-A6B2-6B4A0A1CDF7B}">
      <text>
        <r>
          <rPr>
            <b/>
            <sz val="9"/>
            <color indexed="81"/>
            <rFont val="Tahoma"/>
            <family val="2"/>
          </rPr>
          <t>SoniaCasas:
En el TC Presidente figura como Créditos-Beca otorgados para estudios en educación superior</t>
        </r>
      </text>
    </comment>
    <comment ref="E58" authorId="0" shapeId="0" xr:uid="{0951C242-8994-4F5F-988B-3E5ED85AB1FF}">
      <text>
        <r>
          <rPr>
            <b/>
            <sz val="9"/>
            <color indexed="81"/>
            <rFont val="Tahoma"/>
            <family val="2"/>
          </rPr>
          <t>Sonia Esperanza Casas Merchan:</t>
        </r>
        <r>
          <rPr>
            <sz val="9"/>
            <color indexed="81"/>
            <rFont val="Tahoma"/>
            <family val="2"/>
          </rPr>
          <t xml:space="preserve">
La LB inicial es de 23.067, pero se solicitó ajuste a 26.889 aprobado por DNP sin aplicar; sin embargo, el concepto de DNP es de inviable cambio LB</t>
        </r>
      </text>
    </comment>
    <comment ref="G58" authorId="1" shapeId="0" xr:uid="{8D96C78D-F3D8-47CF-987E-5AD0B169B718}">
      <text>
        <r>
          <rPr>
            <b/>
            <sz val="9"/>
            <color indexed="81"/>
            <rFont val="Tahoma"/>
            <family val="2"/>
          </rPr>
          <t>SoniaCasas:</t>
        </r>
        <r>
          <rPr>
            <sz val="9"/>
            <color indexed="81"/>
            <rFont val="Tahoma"/>
            <family val="2"/>
          </rPr>
          <t xml:space="preserve">
en sinergia 13.498</t>
        </r>
      </text>
    </comment>
    <comment ref="I58" authorId="0" shapeId="0" xr:uid="{B1DFC1A8-0D3E-41F7-8212-1C7EEC46268B}">
      <text>
        <r>
          <rPr>
            <b/>
            <sz val="9"/>
            <color indexed="81"/>
            <rFont val="Tahoma"/>
            <family val="2"/>
          </rPr>
          <t>Sonia Esperanza Casas Merchan:</t>
        </r>
        <r>
          <rPr>
            <sz val="9"/>
            <color indexed="81"/>
            <rFont val="Tahoma"/>
            <family val="2"/>
          </rPr>
          <t xml:space="preserve">
La meta está en 37.614 y se solicitó ajustar porque la suma de las metas no da 125.000; AJUSTADO DNP</t>
        </r>
      </text>
    </comment>
    <comment ref="K59" authorId="0" shapeId="0" xr:uid="{9DD8B86F-AE35-4276-974C-013D86B5D666}">
      <text>
        <r>
          <rPr>
            <b/>
            <sz val="9"/>
            <color indexed="81"/>
            <rFont val="Tahoma"/>
            <family val="2"/>
          </rPr>
          <t>Sonia Esperanza Casas Merchan:</t>
        </r>
        <r>
          <rPr>
            <sz val="9"/>
            <color indexed="81"/>
            <rFont val="Tahoma"/>
            <family val="2"/>
          </rPr>
          <t xml:space="preserve">
En sinergia está como 43,70%</t>
        </r>
      </text>
    </comment>
    <comment ref="D60" authorId="0" shapeId="0" xr:uid="{1FC0FAB4-9597-4CF3-B1FC-5B3D81F758D8}">
      <text>
        <r>
          <rPr>
            <b/>
            <sz val="9"/>
            <color indexed="81"/>
            <rFont val="Tahoma"/>
            <family val="2"/>
          </rPr>
          <t xml:space="preserve">Sonia Esperanza Casas Merchan:
</t>
        </r>
        <r>
          <rPr>
            <sz val="9"/>
            <color indexed="81"/>
            <rFont val="Tahoma"/>
            <family val="2"/>
          </rPr>
          <t>Estaba en 10.000; DNP mediante oficio 20183600279821 del 04/05/18 hace cambio a 11.638</t>
        </r>
      </text>
    </comment>
    <comment ref="F60" authorId="0" shapeId="0" xr:uid="{9ED83CA4-AB8F-4C11-8E01-6756CD7D104C}">
      <text>
        <r>
          <rPr>
            <b/>
            <sz val="9"/>
            <color indexed="81"/>
            <rFont val="Tahoma"/>
            <family val="2"/>
          </rPr>
          <t>Sonia Esperanza Casas Merchan:</t>
        </r>
        <r>
          <rPr>
            <sz val="9"/>
            <color indexed="81"/>
            <rFont val="Tahoma"/>
            <family val="2"/>
          </rPr>
          <t xml:space="preserve">
Estaba en 9100; DNP en oficio 20183600279821 del 04/05/18 hace cambio a 9.500</t>
        </r>
      </text>
    </comment>
    <comment ref="I60" authorId="0" shapeId="0" xr:uid="{5072A6E6-87BE-4F57-B035-FE63ACB8FE81}">
      <text>
        <r>
          <rPr>
            <b/>
            <sz val="9"/>
            <color indexed="81"/>
            <rFont val="Tahoma"/>
            <family val="2"/>
          </rPr>
          <t>Sonia Esperanza Casas Merchan:</t>
        </r>
        <r>
          <rPr>
            <sz val="9"/>
            <color indexed="81"/>
            <rFont val="Tahoma"/>
            <family val="2"/>
          </rPr>
          <t xml:space="preserve">
Estaba en 9.200; DNP mediante oficio 20183600279821 del 04/05/18 hace cambio a 10.216</t>
        </r>
      </text>
    </comment>
    <comment ref="O60" authorId="0" shapeId="0" xr:uid="{F0602AF5-ABFC-4952-9E3F-2DF2640AB2CF}">
      <text>
        <r>
          <rPr>
            <b/>
            <sz val="9"/>
            <color indexed="81"/>
            <rFont val="Tahoma"/>
            <family val="2"/>
          </rPr>
          <t xml:space="preserve">Sonia Esperanza Casas Merchan:
</t>
        </r>
        <r>
          <rPr>
            <sz val="9"/>
            <color indexed="81"/>
            <rFont val="Tahoma"/>
            <family val="2"/>
          </rPr>
          <t>Estaba en 9.400; DNP mediante oficio 20183600279821 del 04/05/18 hace cambio a 10.932</t>
        </r>
      </text>
    </comment>
    <comment ref="V60" authorId="0" shapeId="0" xr:uid="{8756CE5D-21BA-4455-98BF-09B2909D482D}">
      <text>
        <r>
          <rPr>
            <b/>
            <sz val="9"/>
            <color indexed="81"/>
            <rFont val="Tahoma"/>
            <family val="2"/>
          </rPr>
          <t xml:space="preserve">Sonia Esperanza Casas Merchan:
</t>
        </r>
        <r>
          <rPr>
            <sz val="9"/>
            <color indexed="81"/>
            <rFont val="Tahoma"/>
            <family val="2"/>
          </rPr>
          <t>Estaba en 10.000; DNP mediante oficio 20183600279821 del 04/05/18 hace cambio a 11.638</t>
        </r>
      </text>
    </comment>
    <comment ref="E63" authorId="0" shapeId="0" xr:uid="{19C1CBFF-F627-40F7-AFA2-9165F19068DC}">
      <text>
        <r>
          <rPr>
            <b/>
            <sz val="9"/>
            <color indexed="81"/>
            <rFont val="Tahoma"/>
            <family val="2"/>
          </rPr>
          <t>Sonia Esperanza Casas Merchan:</t>
        </r>
        <r>
          <rPr>
            <sz val="9"/>
            <color indexed="81"/>
            <rFont val="Tahoma"/>
            <family val="2"/>
          </rPr>
          <t xml:space="preserve">
La LB inicial era de 13.429 y se solicitó ajustar a 14.623, aprobado por DNP en 2015 y aplicado en SINERGIA</t>
        </r>
      </text>
    </comment>
    <comment ref="D64" authorId="0" shapeId="0" xr:uid="{18AFCBFF-31A6-41E5-BA96-3B16510E13B0}">
      <text>
        <r>
          <rPr>
            <b/>
            <sz val="9"/>
            <color indexed="81"/>
            <rFont val="Tahoma"/>
            <family val="2"/>
          </rPr>
          <t>Sonia Esperanza Casas Merchan:</t>
        </r>
        <r>
          <rPr>
            <sz val="9"/>
            <color indexed="81"/>
            <rFont val="Tahoma"/>
            <family val="2"/>
          </rPr>
          <t xml:space="preserve">
Esta meta tiene solicitud de ajuste de 4.004 a 2000, aprobada por DNP y pendiente por aplicar en SINERGIA</t>
        </r>
      </text>
    </comment>
    <comment ref="V64" authorId="0" shapeId="0" xr:uid="{74EB75E2-EF9E-47D6-A5B8-6C9DCBAAE6FB}">
      <text>
        <r>
          <rPr>
            <b/>
            <sz val="9"/>
            <color indexed="81"/>
            <rFont val="Tahoma"/>
            <family val="2"/>
          </rPr>
          <t>Sonia Esperanza Casas Merchan:</t>
        </r>
        <r>
          <rPr>
            <sz val="9"/>
            <color indexed="81"/>
            <rFont val="Tahoma"/>
            <family val="2"/>
          </rPr>
          <t xml:space="preserve">
En sinergia está como 4.004</t>
        </r>
      </text>
    </comment>
    <comment ref="A65" authorId="1" shapeId="0" xr:uid="{FC07CB22-69A9-4F4A-8191-13411CE5ECAC}">
      <text>
        <r>
          <rPr>
            <b/>
            <sz val="9"/>
            <color indexed="81"/>
            <rFont val="Tahoma"/>
            <family val="2"/>
          </rPr>
          <t>SoniaCasas:</t>
        </r>
        <r>
          <rPr>
            <sz val="9"/>
            <color indexed="81"/>
            <rFont val="Tahoma"/>
            <family val="2"/>
          </rPr>
          <t xml:space="preserve">
En el TC Presidente figura como Becas otorgadas mediante programa Ser Pilo Paga</t>
        </r>
      </text>
    </comment>
    <comment ref="H66" authorId="0" shapeId="0" xr:uid="{CB581C82-7A3A-4C1D-9B2D-E09DE4BAA5A8}">
      <text>
        <r>
          <rPr>
            <b/>
            <sz val="9"/>
            <color indexed="81"/>
            <rFont val="Tahoma"/>
            <family val="2"/>
          </rPr>
          <t>Sonia Esperanza Casas Merchan:</t>
        </r>
        <r>
          <rPr>
            <sz val="9"/>
            <color indexed="81"/>
            <rFont val="Tahoma"/>
            <family val="2"/>
          </rPr>
          <t xml:space="preserve">
todo lo que sea inferior a 5% cumple la meta</t>
        </r>
      </text>
    </comment>
    <comment ref="K66" authorId="0" shapeId="0" xr:uid="{D6458443-44E0-4907-8EC1-245F33F5D56A}">
      <text>
        <r>
          <rPr>
            <b/>
            <sz val="9"/>
            <color indexed="81"/>
            <rFont val="Tahoma"/>
            <family val="2"/>
          </rPr>
          <t>Sonia Esperanza Casas Merchan:</t>
        </r>
        <r>
          <rPr>
            <sz val="9"/>
            <color indexed="81"/>
            <rFont val="Tahoma"/>
            <family val="2"/>
          </rPr>
          <t xml:space="preserve">
esta en sinergia como 0,17</t>
        </r>
      </text>
    </comment>
    <comment ref="M66" authorId="0" shapeId="0" xr:uid="{4972C87F-6C18-49E3-8659-A07594EF4C64}">
      <text>
        <r>
          <rPr>
            <b/>
            <sz val="9"/>
            <color indexed="81"/>
            <rFont val="Tahoma"/>
            <family val="2"/>
          </rPr>
          <t>Sonia Esperanza Casas Merchan:</t>
        </r>
        <r>
          <rPr>
            <sz val="9"/>
            <color indexed="81"/>
            <rFont val="Tahoma"/>
            <family val="2"/>
          </rPr>
          <t xml:space="preserve">
todo lo que sea inferior a 5% cumple la meta</t>
        </r>
      </text>
    </comment>
    <comment ref="S66" authorId="0" shapeId="0" xr:uid="{5CCC9ADF-52DD-4D4A-A2BC-26BB1FECBF38}">
      <text>
        <r>
          <rPr>
            <b/>
            <sz val="9"/>
            <color indexed="81"/>
            <rFont val="Tahoma"/>
            <family val="2"/>
          </rPr>
          <t>Sonia Esperanza Casas Merchan:</t>
        </r>
        <r>
          <rPr>
            <sz val="9"/>
            <color indexed="81"/>
            <rFont val="Tahoma"/>
            <family val="2"/>
          </rPr>
          <t xml:space="preserve">
todo lo que sea inferior a 5% cumple la meta</t>
        </r>
      </text>
    </comment>
    <comment ref="Z66" authorId="0" shapeId="0" xr:uid="{313BF430-A9F3-4516-B46D-9EBB20DDAAD8}">
      <text>
        <r>
          <rPr>
            <b/>
            <sz val="9"/>
            <color indexed="81"/>
            <rFont val="Tahoma"/>
            <family val="2"/>
          </rPr>
          <t>Sonia Esperanza Casas Merchan:</t>
        </r>
        <r>
          <rPr>
            <sz val="9"/>
            <color indexed="81"/>
            <rFont val="Tahoma"/>
            <family val="2"/>
          </rPr>
          <t xml:space="preserve">
todo lo que sea inferior a 5% cumple la meta</t>
        </r>
      </text>
    </comment>
    <comment ref="D70" authorId="0" shapeId="0" xr:uid="{3BEF53D1-77C8-4C57-93F8-A635E8A7B7C2}">
      <text>
        <r>
          <rPr>
            <b/>
            <sz val="9"/>
            <color indexed="81"/>
            <rFont val="Tahoma"/>
            <family val="2"/>
          </rPr>
          <t>Sonia Esperanza Casas Merchan:</t>
        </r>
        <r>
          <rPr>
            <sz val="9"/>
            <color indexed="81"/>
            <rFont val="Tahoma"/>
            <family val="2"/>
          </rPr>
          <t xml:space="preserve">
En SINERGIA no había datos, pero ya lo aplicaron</t>
        </r>
      </text>
    </comment>
    <comment ref="F70" authorId="0" shapeId="0" xr:uid="{E2247BE9-6747-4F29-AEDA-A43584E52001}">
      <text>
        <r>
          <rPr>
            <b/>
            <sz val="9"/>
            <color indexed="81"/>
            <rFont val="Tahoma"/>
            <family val="2"/>
          </rPr>
          <t>Sonia Esperanza Casas Merchan:</t>
        </r>
        <r>
          <rPr>
            <sz val="9"/>
            <color indexed="81"/>
            <rFont val="Tahoma"/>
            <family val="2"/>
          </rPr>
          <t xml:space="preserve">
En SINERGIA no había datos, pero ya lo aplicaron</t>
        </r>
      </text>
    </comment>
    <comment ref="I70" authorId="0" shapeId="0" xr:uid="{98BD651C-500B-4426-B1FA-DEC9B7491932}">
      <text>
        <r>
          <rPr>
            <b/>
            <sz val="9"/>
            <color indexed="81"/>
            <rFont val="Tahoma"/>
            <family val="2"/>
          </rPr>
          <t>Sonia Esperanza Casas Merchan:</t>
        </r>
        <r>
          <rPr>
            <sz val="9"/>
            <color indexed="81"/>
            <rFont val="Tahoma"/>
            <family val="2"/>
          </rPr>
          <t xml:space="preserve">
En SINERGIA no había datos, pero ya lo aplicaron</t>
        </r>
      </text>
    </comment>
    <comment ref="O70" authorId="0" shapeId="0" xr:uid="{5B62D510-529D-48EB-AED9-D5AA618CA17C}">
      <text>
        <r>
          <rPr>
            <b/>
            <sz val="9"/>
            <color indexed="81"/>
            <rFont val="Tahoma"/>
            <family val="2"/>
          </rPr>
          <t>Sonia Esperanza Casas Merchan:</t>
        </r>
        <r>
          <rPr>
            <sz val="9"/>
            <color indexed="81"/>
            <rFont val="Tahoma"/>
            <family val="2"/>
          </rPr>
          <t xml:space="preserve">
En SINERGIA no había datos, pero ya lo aplicaron</t>
        </r>
      </text>
    </comment>
    <comment ref="Q70" authorId="0" shapeId="0" xr:uid="{8B268055-76EC-4F77-B216-D9835957E260}">
      <text>
        <r>
          <rPr>
            <b/>
            <sz val="9"/>
            <color indexed="81"/>
            <rFont val="Tahoma"/>
            <family val="2"/>
          </rPr>
          <t>Sonia Esperanza Casas Merchan:</t>
        </r>
        <r>
          <rPr>
            <sz val="9"/>
            <color indexed="81"/>
            <rFont val="Tahoma"/>
            <family val="2"/>
          </rPr>
          <t xml:space="preserve">
se ajustó de 1.210 a 3.135 </t>
        </r>
      </text>
    </comment>
    <comment ref="V70" authorId="0" shapeId="0" xr:uid="{9D4734A4-0F3D-46A2-B8B8-C6E5A784C2B8}">
      <text>
        <r>
          <rPr>
            <b/>
            <sz val="9"/>
            <color indexed="81"/>
            <rFont val="Tahoma"/>
            <family val="2"/>
          </rPr>
          <t>Sonia Esperanza Casas Merchan:</t>
        </r>
        <r>
          <rPr>
            <sz val="9"/>
            <color indexed="81"/>
            <rFont val="Tahoma"/>
            <family val="2"/>
          </rPr>
          <t xml:space="preserve">
En SINERGIA no había datos, pero ya lo aplicaron</t>
        </r>
      </text>
    </comment>
    <comment ref="F71" authorId="0" shapeId="0" xr:uid="{69D6855E-E896-4D96-B105-91BBE8155D22}">
      <text>
        <r>
          <rPr>
            <b/>
            <sz val="9"/>
            <color indexed="81"/>
            <rFont val="Tahoma"/>
            <family val="2"/>
          </rPr>
          <t>Sonia Esperanza Casas Merchan:</t>
        </r>
        <r>
          <rPr>
            <sz val="9"/>
            <color indexed="81"/>
            <rFont val="Tahoma"/>
            <family val="2"/>
          </rPr>
          <t xml:space="preserve">
La LB en SINERGIA figura como 94 y es 12 la inicial; no obstante, nunk autorizaron cambio de meta por tanto, quedó como 94; lo subsanaron con el cambio del tipo de acumulación</t>
        </r>
      </text>
    </comment>
    <comment ref="E72" authorId="0" shapeId="0" xr:uid="{F819D6E9-CF19-469C-A70B-9E351CDAFEE8}">
      <text>
        <r>
          <rPr>
            <b/>
            <sz val="9"/>
            <color indexed="81"/>
            <rFont val="Tahoma"/>
            <family val="2"/>
          </rPr>
          <t>Sonia Esperanza Casas Merchan:</t>
        </r>
        <r>
          <rPr>
            <sz val="9"/>
            <color indexed="81"/>
            <rFont val="Tahoma"/>
            <family val="2"/>
          </rPr>
          <t xml:space="preserve">
SIN DATO EN SINERGIA</t>
        </r>
      </text>
    </comment>
    <comment ref="F72" authorId="0" shapeId="0" xr:uid="{52E09495-3623-4474-87FB-2CCA12024EFA}">
      <text>
        <r>
          <rPr>
            <b/>
            <sz val="9"/>
            <color indexed="81"/>
            <rFont val="Tahoma"/>
            <family val="2"/>
          </rPr>
          <t>Sonia Esperanza Casas Merchan:</t>
        </r>
        <r>
          <rPr>
            <sz val="9"/>
            <color indexed="81"/>
            <rFont val="Tahoma"/>
            <family val="2"/>
          </rPr>
          <t xml:space="preserve">
En SINERGIA no existe dato</t>
        </r>
      </text>
    </comment>
    <comment ref="L72" authorId="0" shapeId="0" xr:uid="{9C070E87-174A-416F-8EA7-ED7AC3E5E6C4}">
      <text>
        <r>
          <rPr>
            <b/>
            <sz val="9"/>
            <color indexed="81"/>
            <rFont val="Tahoma"/>
            <family val="2"/>
          </rPr>
          <t>Sonia Esperanza Casas Merchan:</t>
        </r>
        <r>
          <rPr>
            <sz val="9"/>
            <color indexed="81"/>
            <rFont val="Tahoma"/>
            <family val="2"/>
          </rPr>
          <t xml:space="preserve">
EN SINERGIA APARECE EN 0</t>
        </r>
      </text>
    </comment>
    <comment ref="F74" authorId="0" shapeId="0" xr:uid="{0FAB9F39-37E3-4885-B835-AA4B44F3FDF4}">
      <text>
        <r>
          <rPr>
            <b/>
            <sz val="9"/>
            <color indexed="81"/>
            <rFont val="Tahoma"/>
            <family val="2"/>
          </rPr>
          <t>Sonia Esperanza Casas Merchan:</t>
        </r>
        <r>
          <rPr>
            <sz val="9"/>
            <color indexed="81"/>
            <rFont val="Tahoma"/>
            <family val="2"/>
          </rPr>
          <t xml:space="preserve">
En SINERGIA no hay dato</t>
        </r>
      </text>
    </comment>
    <comment ref="V74" authorId="0" shapeId="0" xr:uid="{32373936-6D81-4997-BB4F-251AA889E412}">
      <text>
        <r>
          <rPr>
            <b/>
            <sz val="9"/>
            <color indexed="81"/>
            <rFont val="Tahoma"/>
            <family val="2"/>
          </rPr>
          <t>Sonia Esperanza Casas Merchan:</t>
        </r>
        <r>
          <rPr>
            <sz val="9"/>
            <color indexed="81"/>
            <rFont val="Tahoma"/>
            <family val="2"/>
          </rPr>
          <t xml:space="preserve">
En SINERGIA no hay dATO</t>
        </r>
      </text>
    </comment>
    <comment ref="A75" authorId="1" shapeId="0" xr:uid="{04E106A0-EF74-4943-BD09-9CAE1EDEFCF8}">
      <text>
        <r>
          <rPr>
            <b/>
            <sz val="9"/>
            <color indexed="81"/>
            <rFont val="Tahoma"/>
            <family val="2"/>
          </rPr>
          <t>SoniaCasas:</t>
        </r>
        <r>
          <rPr>
            <sz val="9"/>
            <color indexed="81"/>
            <rFont val="Tahoma"/>
            <family val="2"/>
          </rPr>
          <t xml:space="preserve">
no es de PND es de CONPES</t>
        </r>
      </text>
    </comment>
    <comment ref="A76" authorId="0" shapeId="0" xr:uid="{07618E59-7261-4CA2-8FA0-549592B67F4A}">
      <text>
        <r>
          <rPr>
            <b/>
            <sz val="9"/>
            <color indexed="81"/>
            <rFont val="Tahoma"/>
            <family val="2"/>
          </rPr>
          <t>Sonia Esperanza Casas Merchan:</t>
        </r>
        <r>
          <rPr>
            <sz val="9"/>
            <color indexed="81"/>
            <rFont val="Tahoma"/>
            <family val="2"/>
          </rPr>
          <t xml:space="preserve">
NO VISIBLE EN SINERGIA</t>
        </r>
      </text>
    </comment>
    <comment ref="A77" authorId="0" shapeId="0" xr:uid="{D65DF69C-A294-4D3D-941D-44C0DA284A99}">
      <text>
        <r>
          <rPr>
            <b/>
            <sz val="9"/>
            <color indexed="81"/>
            <rFont val="Tahoma"/>
            <family val="2"/>
          </rPr>
          <t xml:space="preserve">NO VISIBLE EN SINERGIA </t>
        </r>
        <r>
          <rPr>
            <sz val="9"/>
            <color indexed="81"/>
            <rFont val="Tahoma"/>
            <family val="2"/>
          </rPr>
          <t>Se cambió de nombre; antes era
Porcentaje de niños y niñas atendidos en educación inicial en el marco de la atención integral que cuentan con las 8 atenciones priorizadas</t>
        </r>
      </text>
    </comment>
    <comment ref="A78" authorId="0" shapeId="0" xr:uid="{1A3BA0FB-726F-4094-8733-E966AEF28320}">
      <text>
        <r>
          <rPr>
            <b/>
            <sz val="9"/>
            <color indexed="81"/>
            <rFont val="Tahoma"/>
            <family val="2"/>
          </rPr>
          <t>Sonia Esperanza Casas Merchan:</t>
        </r>
        <r>
          <rPr>
            <sz val="9"/>
            <color indexed="81"/>
            <rFont val="Tahoma"/>
            <family val="2"/>
          </rPr>
          <t xml:space="preserve">
NO VISIBLE EN SINERGIA</t>
        </r>
      </text>
    </comment>
    <comment ref="A79" authorId="0" shapeId="0" xr:uid="{054FA558-57BF-4128-BC1E-49BB06AEBC59}">
      <text>
        <r>
          <rPr>
            <b/>
            <sz val="9"/>
            <color indexed="81"/>
            <rFont val="Tahoma"/>
            <family val="2"/>
          </rPr>
          <t>Sonia Esperanza Casas Merchan:</t>
        </r>
        <r>
          <rPr>
            <sz val="9"/>
            <color indexed="81"/>
            <rFont val="Tahoma"/>
            <family val="2"/>
          </rPr>
          <t xml:space="preserve">
NO VISIBLE EN SINERGIA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Sonia Esperanza Casas Merchan</author>
    <author>SoniaCasas</author>
  </authors>
  <commentList>
    <comment ref="J15" authorId="0" shapeId="0" xr:uid="{00000000-0006-0000-0500-000001000000}">
      <text>
        <r>
          <rPr>
            <b/>
            <sz val="9"/>
            <color indexed="81"/>
            <rFont val="Tahoma"/>
            <family val="2"/>
          </rPr>
          <t>Sonia Esperanza Casas Merchan:</t>
        </r>
        <r>
          <rPr>
            <sz val="9"/>
            <color indexed="81"/>
            <rFont val="Tahoma"/>
            <family val="2"/>
          </rPr>
          <t xml:space="preserve">
La MC inicial es del 86,31%, se solicitó reducción, fue aprobada por DNP en 2015 y no ha sido aplicada en SINERGIA</t>
        </r>
      </text>
    </comment>
    <comment ref="K15" authorId="0" shapeId="0" xr:uid="{00000000-0006-0000-0500-000002000000}">
      <text>
        <r>
          <rPr>
            <b/>
            <sz val="9"/>
            <color indexed="81"/>
            <rFont val="Tahoma"/>
            <family val="2"/>
          </rPr>
          <t>Sonia Esperanza Casas Merchan:</t>
        </r>
        <r>
          <rPr>
            <sz val="9"/>
            <color indexed="81"/>
            <rFont val="Tahoma"/>
            <family val="2"/>
          </rPr>
          <t xml:space="preserve">
La LB inicial era de 71,7% y se solicitó ajustar a 74,47%, aprobado por DNP en 2015 y sin aplicar en SINERGIA</t>
        </r>
      </text>
    </comment>
    <comment ref="L15" authorId="0" shapeId="0" xr:uid="{00000000-0006-0000-0500-000003000000}">
      <text>
        <r>
          <rPr>
            <b/>
            <sz val="9"/>
            <color indexed="81"/>
            <rFont val="Tahoma"/>
            <family val="2"/>
          </rPr>
          <t>Sonia Esperanza Casas Merchan:</t>
        </r>
        <r>
          <rPr>
            <sz val="9"/>
            <color indexed="81"/>
            <rFont val="Tahoma"/>
            <family val="2"/>
          </rPr>
          <t xml:space="preserve">
En SINERGIA no hay dato</t>
        </r>
      </text>
    </comment>
    <comment ref="O15" authorId="0" shapeId="0" xr:uid="{00000000-0006-0000-0500-000004000000}">
      <text>
        <r>
          <rPr>
            <b/>
            <sz val="9"/>
            <color indexed="81"/>
            <rFont val="Tahoma"/>
            <family val="2"/>
          </rPr>
          <t>Sonia Esperanza Casas Merchan:</t>
        </r>
        <r>
          <rPr>
            <sz val="9"/>
            <color indexed="81"/>
            <rFont val="Tahoma"/>
            <family val="2"/>
          </rPr>
          <t xml:space="preserve">
En SINERGIA no se identifican datos</t>
        </r>
      </text>
    </comment>
    <comment ref="U15" authorId="0" shapeId="0" xr:uid="{00000000-0006-0000-0500-000005000000}">
      <text>
        <r>
          <rPr>
            <b/>
            <sz val="9"/>
            <color indexed="81"/>
            <rFont val="Tahoma"/>
            <family val="2"/>
          </rPr>
          <t>Sonia Esperanza Casas Merchan:</t>
        </r>
        <r>
          <rPr>
            <sz val="9"/>
            <color indexed="81"/>
            <rFont val="Tahoma"/>
            <family val="2"/>
          </rPr>
          <t xml:space="preserve">
En SINERGIA no se identifican datos</t>
        </r>
      </text>
    </comment>
    <comment ref="AB15" authorId="0" shapeId="0" xr:uid="{00000000-0006-0000-0500-000006000000}">
      <text>
        <r>
          <rPr>
            <b/>
            <sz val="9"/>
            <color indexed="81"/>
            <rFont val="Tahoma"/>
            <family val="2"/>
          </rPr>
          <t>Sonia Esperanza Casas Merchan:</t>
        </r>
        <r>
          <rPr>
            <sz val="9"/>
            <color indexed="81"/>
            <rFont val="Tahoma"/>
            <family val="2"/>
          </rPr>
          <t xml:space="preserve">
En SINERGIA no hay dato</t>
        </r>
      </text>
    </comment>
    <comment ref="J16" authorId="0" shapeId="0" xr:uid="{00000000-0006-0000-0500-000007000000}">
      <text>
        <r>
          <rPr>
            <b/>
            <sz val="9"/>
            <color indexed="81"/>
            <rFont val="Tahoma"/>
            <family val="2"/>
          </rPr>
          <t>Sonia Esperanza Casas Merchan:</t>
        </r>
        <r>
          <rPr>
            <sz val="9"/>
            <color indexed="81"/>
            <rFont val="Tahoma"/>
            <family val="2"/>
          </rPr>
          <t xml:space="preserve">
La MC inicial es de 84,33%; se solicitó reducción, fue autorizada por DNP y no se ha aplicado en SINERGIA</t>
        </r>
      </text>
    </comment>
    <comment ref="K16" authorId="0" shapeId="0" xr:uid="{00000000-0006-0000-0500-000008000000}">
      <text>
        <r>
          <rPr>
            <b/>
            <sz val="9"/>
            <color indexed="81"/>
            <rFont val="Tahoma"/>
            <family val="2"/>
          </rPr>
          <t>Sonia Esperanza Casas Merchan:</t>
        </r>
        <r>
          <rPr>
            <sz val="9"/>
            <color indexed="81"/>
            <rFont val="Tahoma"/>
            <family val="2"/>
          </rPr>
          <t xml:space="preserve">
La LB inicial era de 73% y se solicitó ajuste a 60,74% aprobado por DNP en 2015 y pendiente por aplicar en SINERGIA</t>
        </r>
      </text>
    </comment>
    <comment ref="L16" authorId="0" shapeId="0" xr:uid="{00000000-0006-0000-0500-000009000000}">
      <text>
        <r>
          <rPr>
            <b/>
            <sz val="9"/>
            <color indexed="81"/>
            <rFont val="Tahoma"/>
            <family val="2"/>
          </rPr>
          <t>Sonia Esperanza Casas Merchan:</t>
        </r>
        <r>
          <rPr>
            <sz val="9"/>
            <color indexed="81"/>
            <rFont val="Tahoma"/>
            <family val="2"/>
          </rPr>
          <t xml:space="preserve">
En SINERGIA aparece 77,54%; de conformidad con la reducción, la ficha se ajustó a 70,70%</t>
        </r>
      </text>
    </comment>
    <comment ref="O16" authorId="0" shapeId="0" xr:uid="{00000000-0006-0000-0500-00000A000000}">
      <text>
        <r>
          <rPr>
            <b/>
            <sz val="9"/>
            <color indexed="81"/>
            <rFont val="Tahoma"/>
            <family val="2"/>
          </rPr>
          <t>Sonia Esperanza Casas Merchan:</t>
        </r>
        <r>
          <rPr>
            <sz val="9"/>
            <color indexed="81"/>
            <rFont val="Tahoma"/>
            <family val="2"/>
          </rPr>
          <t xml:space="preserve">
La LB inicial era de 79,80%, en el reajuste aprobado por DNP la meta 2016 se ajustaría a 70,50%</t>
        </r>
      </text>
    </comment>
    <comment ref="U16" authorId="0" shapeId="0" xr:uid="{00000000-0006-0000-0500-00000B000000}">
      <text>
        <r>
          <rPr>
            <b/>
            <sz val="9"/>
            <color indexed="81"/>
            <rFont val="Tahoma"/>
            <family val="2"/>
          </rPr>
          <t>Sonia Esperanza Casas Merchan:</t>
        </r>
        <r>
          <rPr>
            <sz val="9"/>
            <color indexed="81"/>
            <rFont val="Tahoma"/>
            <family val="2"/>
          </rPr>
          <t xml:space="preserve">
En SINERGIA aparece como 82,07%, pero al aprobarse la reducción de la MC debe ajustarse a 70,93%</t>
        </r>
      </text>
    </comment>
    <comment ref="J17" authorId="0" shapeId="0" xr:uid="{00000000-0006-0000-0500-00000C000000}">
      <text>
        <r>
          <rPr>
            <b/>
            <sz val="9"/>
            <color indexed="81"/>
            <rFont val="Tahoma"/>
            <family val="2"/>
          </rPr>
          <t>Sonia Esperanza Casas Merchan:</t>
        </r>
        <r>
          <rPr>
            <sz val="9"/>
            <color indexed="81"/>
            <rFont val="Tahoma"/>
            <family val="2"/>
          </rPr>
          <t xml:space="preserve">
Esta meta tiene solicitud de ajuste  de 135.694 a 113.658, aprobada por DNP  en 2015 y pendiente por aplicar.</t>
        </r>
      </text>
    </comment>
    <comment ref="L17" authorId="0" shapeId="0" xr:uid="{00000000-0006-0000-0500-00000D000000}">
      <text>
        <r>
          <rPr>
            <b/>
            <sz val="9"/>
            <color indexed="81"/>
            <rFont val="Tahoma"/>
            <family val="2"/>
          </rPr>
          <t>Sonia Esperanza Casas Merchan:</t>
        </r>
        <r>
          <rPr>
            <sz val="9"/>
            <color indexed="81"/>
            <rFont val="Tahoma"/>
            <family val="2"/>
          </rPr>
          <t xml:space="preserve">
En SINERGIA aparece como 120.180, pero al aprobarse la reducción, debe ajustarse a 110.658</t>
        </r>
      </text>
    </comment>
    <comment ref="O17" authorId="0" shapeId="0" xr:uid="{00000000-0006-0000-0500-00000E000000}">
      <text>
        <r>
          <rPr>
            <b/>
            <sz val="9"/>
            <color indexed="81"/>
            <rFont val="Tahoma"/>
            <family val="2"/>
          </rPr>
          <t>Sonia Esperanza Casas Merchan:</t>
        </r>
        <r>
          <rPr>
            <sz val="9"/>
            <color indexed="81"/>
            <rFont val="Tahoma"/>
            <family val="2"/>
          </rPr>
          <t xml:space="preserve">
En SINERGIA aparece como 125.441, pero al aprobarse la reducción se ajusta la meta a 111.658</t>
        </r>
      </text>
    </comment>
    <comment ref="U17" authorId="0" shapeId="0" xr:uid="{00000000-0006-0000-0500-00000F000000}">
      <text>
        <r>
          <rPr>
            <b/>
            <sz val="9"/>
            <color indexed="81"/>
            <rFont val="Tahoma"/>
            <family val="2"/>
          </rPr>
          <t>Sonia Esperanza Casas Merchan:</t>
        </r>
        <r>
          <rPr>
            <sz val="9"/>
            <color indexed="81"/>
            <rFont val="Tahoma"/>
            <family val="2"/>
          </rPr>
          <t xml:space="preserve">
En SINERGIA aparece como 130.703, pero al aprobarse la reducción de MC se ajusta a 112.658</t>
        </r>
      </text>
    </comment>
    <comment ref="AB17" authorId="0" shapeId="0" xr:uid="{00000000-0006-0000-0500-000010000000}">
      <text>
        <r>
          <rPr>
            <b/>
            <sz val="9"/>
            <color indexed="81"/>
            <rFont val="Tahoma"/>
            <family val="2"/>
          </rPr>
          <t>Sonia Esperanza Casas Merchan:</t>
        </r>
        <r>
          <rPr>
            <sz val="9"/>
            <color indexed="81"/>
            <rFont val="Tahoma"/>
            <family val="2"/>
          </rPr>
          <t xml:space="preserve">
La M2018 está en 135.964 en SINERGIA; con el ajuste pasaría a 113.658</t>
        </r>
      </text>
    </comment>
    <comment ref="K19" authorId="0" shapeId="0" xr:uid="{00000000-0006-0000-0500-000011000000}">
      <text>
        <r>
          <rPr>
            <b/>
            <sz val="9"/>
            <color indexed="81"/>
            <rFont val="Tahoma"/>
            <family val="2"/>
          </rPr>
          <t>Sonia Esperanza Casas Merchan:</t>
        </r>
        <r>
          <rPr>
            <sz val="9"/>
            <color indexed="81"/>
            <rFont val="Tahoma"/>
            <family val="2"/>
          </rPr>
          <t xml:space="preserve">
La LB inicial era de 73,31% y se solicito ajuste a 75,72% aprobado por DNP pero pendiente por aplicar en SINERGIA</t>
        </r>
      </text>
    </comment>
    <comment ref="K20" authorId="0" shapeId="0" xr:uid="{00000000-0006-0000-0500-000012000000}">
      <text>
        <r>
          <rPr>
            <b/>
            <sz val="9"/>
            <color indexed="81"/>
            <rFont val="Tahoma"/>
            <family val="2"/>
          </rPr>
          <t>Sonia Esperanza Casas Merchan:</t>
        </r>
        <r>
          <rPr>
            <sz val="9"/>
            <color indexed="81"/>
            <rFont val="Tahoma"/>
            <family val="2"/>
          </rPr>
          <t xml:space="preserve">
La LB inicial era de 404.056 y se solicitó ajuste a 362.740 aprobado por DNP y pendiente por ajustar en SINERGIA</t>
        </r>
      </text>
    </comment>
    <comment ref="K26" authorId="0" shapeId="0" xr:uid="{00000000-0006-0000-0500-000013000000}">
      <text>
        <r>
          <rPr>
            <b/>
            <sz val="9"/>
            <color indexed="81"/>
            <rFont val="Tahoma"/>
            <family val="2"/>
          </rPr>
          <t>Sonia Esperanza Casas Merchan:</t>
        </r>
        <r>
          <rPr>
            <sz val="9"/>
            <color indexed="81"/>
            <rFont val="Tahoma"/>
            <family val="2"/>
          </rPr>
          <t xml:space="preserve">
La LB inicial era de 72,86% y se solicitó ajuste a 72,76% aprobado por DNP en 2015 pero pendiente por aplicar en SINERGIA</t>
        </r>
      </text>
    </comment>
    <comment ref="J27" authorId="0" shapeId="0" xr:uid="{00000000-0006-0000-0500-000014000000}">
      <text>
        <r>
          <rPr>
            <b/>
            <sz val="9"/>
            <color indexed="81"/>
            <rFont val="Tahoma"/>
            <family val="2"/>
          </rPr>
          <t>Sonia Esperanza Casas Merchan:</t>
        </r>
        <r>
          <rPr>
            <sz val="9"/>
            <color indexed="81"/>
            <rFont val="Tahoma"/>
            <family val="2"/>
          </rPr>
          <t xml:space="preserve">
La MC inicial era de 582.001; se solicitó ajuste a 500.798 NO SE HA DADO RESPUESTA DNP</t>
        </r>
      </text>
    </comment>
    <comment ref="K27" authorId="0" shapeId="0" xr:uid="{00000000-0006-0000-0500-000015000000}">
      <text>
        <r>
          <rPr>
            <b/>
            <sz val="9"/>
            <color indexed="81"/>
            <rFont val="Tahoma"/>
            <family val="2"/>
          </rPr>
          <t>Sonia Esperanza Casas Merchan:</t>
        </r>
        <r>
          <rPr>
            <sz val="9"/>
            <color indexed="81"/>
            <rFont val="Tahoma"/>
            <family val="2"/>
          </rPr>
          <t xml:space="preserve">
La LB inicial era 492.798 y se solicitó ajuste a 432.372. NO SE HA TENIDO RESPUESTA POR DNP- Pendiente aplicar</t>
        </r>
      </text>
    </comment>
    <comment ref="AB27" authorId="0" shapeId="0" xr:uid="{00000000-0006-0000-0500-000016000000}">
      <text>
        <r>
          <rPr>
            <b/>
            <sz val="9"/>
            <color indexed="81"/>
            <rFont val="Tahoma"/>
            <family val="2"/>
          </rPr>
          <t>Sonia Esperanza Casas Merchan:</t>
        </r>
        <r>
          <rPr>
            <sz val="9"/>
            <color indexed="81"/>
            <rFont val="Tahoma"/>
            <family val="2"/>
          </rPr>
          <t xml:space="preserve">
De aprobarse el ajuste por DNP cambiar{ia a 500.798</t>
        </r>
      </text>
    </comment>
    <comment ref="J29" authorId="0" shapeId="0" xr:uid="{00000000-0006-0000-0500-000017000000}">
      <text>
        <r>
          <rPr>
            <b/>
            <sz val="9"/>
            <color indexed="81"/>
            <rFont val="Tahoma"/>
            <family val="2"/>
          </rPr>
          <t>Sonia Esperanza Casas Merchan:</t>
        </r>
        <r>
          <rPr>
            <sz val="9"/>
            <color indexed="81"/>
            <rFont val="Tahoma"/>
            <family val="2"/>
          </rPr>
          <t xml:space="preserve">
se solicitó ajuste de 457.081 a 553.408, no respondido ni ajustado en Sinergia</t>
        </r>
      </text>
    </comment>
    <comment ref="K29" authorId="0" shapeId="0" xr:uid="{00000000-0006-0000-0500-000018000000}">
      <text>
        <r>
          <rPr>
            <b/>
            <sz val="9"/>
            <color indexed="81"/>
            <rFont val="Tahoma"/>
            <family val="2"/>
          </rPr>
          <t>Sonia Esperanza Casas Merchan:</t>
        </r>
        <r>
          <rPr>
            <sz val="9"/>
            <color indexed="81"/>
            <rFont val="Tahoma"/>
            <family val="2"/>
          </rPr>
          <t xml:space="preserve">
La LB inicial era 659.000 y se solicitó ajustar a 690.512, aprobado por DNP en 2015 y pendiente por aplicar en SINERGIA</t>
        </r>
      </text>
    </comment>
    <comment ref="L29" authorId="0" shapeId="0" xr:uid="{00000000-0006-0000-0500-000019000000}">
      <text>
        <r>
          <rPr>
            <b/>
            <sz val="9"/>
            <color indexed="81"/>
            <rFont val="Tahoma"/>
            <family val="2"/>
          </rPr>
          <t>Sonia Esperanza Casas Merchan:</t>
        </r>
        <r>
          <rPr>
            <sz val="9"/>
            <color indexed="81"/>
            <rFont val="Tahoma"/>
            <family val="2"/>
          </rPr>
          <t xml:space="preserve">
En SINERGIA no hay dato</t>
        </r>
      </text>
    </comment>
    <comment ref="O29" authorId="0" shapeId="0" xr:uid="{00000000-0006-0000-0500-00001A000000}">
      <text>
        <r>
          <rPr>
            <b/>
            <sz val="9"/>
            <color indexed="81"/>
            <rFont val="Tahoma"/>
            <family val="2"/>
          </rPr>
          <t>Sonia Esperanza Casas Merchan:</t>
        </r>
        <r>
          <rPr>
            <sz val="9"/>
            <color indexed="81"/>
            <rFont val="Tahoma"/>
            <family val="2"/>
          </rPr>
          <t xml:space="preserve">
En SINERGIA no se identifican datos</t>
        </r>
      </text>
    </comment>
    <comment ref="U29" authorId="0" shapeId="0" xr:uid="{00000000-0006-0000-0500-00001B000000}">
      <text>
        <r>
          <rPr>
            <b/>
            <sz val="9"/>
            <color indexed="81"/>
            <rFont val="Tahoma"/>
            <family val="2"/>
          </rPr>
          <t>Sonia Esperanza Casas Merchan:</t>
        </r>
        <r>
          <rPr>
            <sz val="9"/>
            <color indexed="81"/>
            <rFont val="Tahoma"/>
            <family val="2"/>
          </rPr>
          <t xml:space="preserve">
En SINERGIA no se identifican datos</t>
        </r>
      </text>
    </comment>
    <comment ref="AB29" authorId="0" shapeId="0" xr:uid="{00000000-0006-0000-0500-00001C000000}">
      <text>
        <r>
          <rPr>
            <b/>
            <sz val="9"/>
            <color indexed="81"/>
            <rFont val="Tahoma"/>
            <family val="2"/>
          </rPr>
          <t>Sonia Esperanza Casas Merchan:</t>
        </r>
        <r>
          <rPr>
            <sz val="9"/>
            <color indexed="81"/>
            <rFont val="Tahoma"/>
            <family val="2"/>
          </rPr>
          <t xml:space="preserve">
En SINERGIA no hay dato</t>
        </r>
      </text>
    </comment>
    <comment ref="J31" authorId="0" shapeId="0" xr:uid="{00000000-0006-0000-0500-00001D000000}">
      <text>
        <r>
          <rPr>
            <b/>
            <sz val="9"/>
            <color indexed="81"/>
            <rFont val="Tahoma"/>
            <family val="2"/>
          </rPr>
          <t>Sonia Esperanza Casas Merchan:</t>
        </r>
        <r>
          <rPr>
            <sz val="9"/>
            <color indexed="81"/>
            <rFont val="Tahoma"/>
            <family val="2"/>
          </rPr>
          <t xml:space="preserve">
En SINERGIA aparece como 71,07% pero por datos en serie debe ajustarse a 57,79%</t>
        </r>
      </text>
    </comment>
    <comment ref="E38" authorId="1" shapeId="0" xr:uid="{00000000-0006-0000-0500-00001E000000}">
      <text>
        <r>
          <rPr>
            <b/>
            <sz val="9"/>
            <color indexed="81"/>
            <rFont val="Tahoma"/>
            <family val="2"/>
          </rPr>
          <t>SoniaCasas:</t>
        </r>
        <r>
          <rPr>
            <sz val="9"/>
            <color indexed="81"/>
            <rFont val="Tahoma"/>
            <family val="2"/>
          </rPr>
          <t xml:space="preserve">
En el TC Presidente figura como Número de docentes por tutor (PTA)</t>
        </r>
      </text>
    </comment>
    <comment ref="E40" authorId="1" shapeId="0" xr:uid="{00000000-0006-0000-0500-00001F000000}">
      <text>
        <r>
          <rPr>
            <b/>
            <sz val="9"/>
            <color indexed="81"/>
            <rFont val="Tahoma"/>
            <family val="2"/>
          </rPr>
          <t>SoniaCasas:</t>
        </r>
        <r>
          <rPr>
            <sz val="9"/>
            <color indexed="81"/>
            <rFont val="Tahoma"/>
            <family val="2"/>
          </rPr>
          <t xml:space="preserve">
Se acompaña de otro denominado Docentes o aspirantes docentes beneficiados con recursos de la nación para mejorar su nivel de ofrmación a nivel de postgrado.</t>
        </r>
      </text>
    </comment>
    <comment ref="L40" authorId="1" shapeId="0" xr:uid="{00000000-0006-0000-0500-000020000000}">
      <text>
        <r>
          <rPr>
            <b/>
            <sz val="9"/>
            <color indexed="81"/>
            <rFont val="Tahoma"/>
            <family val="2"/>
          </rPr>
          <t>SoniaCasas:</t>
        </r>
        <r>
          <rPr>
            <sz val="9"/>
            <color indexed="81"/>
            <rFont val="Tahoma"/>
            <family val="2"/>
          </rPr>
          <t xml:space="preserve">
meta en SINERGIA del 32%</t>
        </r>
      </text>
    </comment>
    <comment ref="K42" authorId="0" shapeId="0" xr:uid="{00000000-0006-0000-0500-000021000000}">
      <text>
        <r>
          <rPr>
            <b/>
            <sz val="9"/>
            <color indexed="81"/>
            <rFont val="Tahoma"/>
            <family val="2"/>
          </rPr>
          <t>Sonia Esperanza Casas Merchan:</t>
        </r>
        <r>
          <rPr>
            <sz val="9"/>
            <color indexed="81"/>
            <rFont val="Tahoma"/>
            <family val="2"/>
          </rPr>
          <t xml:space="preserve">
La LB inicial era de 4.293; se solicitó ajustar a 5.703- NO SE HA RECIBIDO RESPUESTA OFICIAL DNP- pendiente por aplicar en SINERGIA</t>
        </r>
      </text>
    </comment>
    <comment ref="J43" authorId="0" shapeId="0" xr:uid="{00000000-0006-0000-0500-000022000000}">
      <text>
        <r>
          <rPr>
            <b/>
            <sz val="9"/>
            <color indexed="81"/>
            <rFont val="Tahoma"/>
            <family val="2"/>
          </rPr>
          <t>Sonia Esperanza Casas Merchan:</t>
        </r>
        <r>
          <rPr>
            <sz val="9"/>
            <color indexed="81"/>
            <rFont val="Tahoma"/>
            <family val="2"/>
          </rPr>
          <t xml:space="preserve">
la meta inicial es de 11,96% y no 12%
lb 9,4%</t>
        </r>
      </text>
    </comment>
    <comment ref="K43" authorId="0" shapeId="0" xr:uid="{00000000-0006-0000-0500-000023000000}">
      <text>
        <r>
          <rPr>
            <b/>
            <sz val="9"/>
            <color indexed="81"/>
            <rFont val="Tahoma"/>
            <family val="2"/>
          </rPr>
          <t>Sonia Esperanza Casas Merchan:</t>
        </r>
        <r>
          <rPr>
            <sz val="9"/>
            <color indexed="81"/>
            <rFont val="Tahoma"/>
            <family val="2"/>
          </rPr>
          <t xml:space="preserve">
Es 9,4% y no 94% como aparece en SINERGIA</t>
        </r>
      </text>
    </comment>
    <comment ref="AB43" authorId="0" shapeId="0" xr:uid="{00000000-0006-0000-0500-000024000000}">
      <text>
        <r>
          <rPr>
            <b/>
            <sz val="9"/>
            <color indexed="81"/>
            <rFont val="Tahoma"/>
            <family val="2"/>
          </rPr>
          <t>Sonia Esperanza Casas Merchan:</t>
        </r>
        <r>
          <rPr>
            <sz val="9"/>
            <color indexed="81"/>
            <rFont val="Tahoma"/>
            <family val="2"/>
          </rPr>
          <t xml:space="preserve">
En sinergia aparece como 12% debe ajustarse a 11,96%</t>
        </r>
      </text>
    </comment>
    <comment ref="E59" authorId="1" shapeId="0" xr:uid="{00000000-0006-0000-0500-000025000000}">
      <text>
        <r>
          <rPr>
            <b/>
            <sz val="9"/>
            <color indexed="81"/>
            <rFont val="Tahoma"/>
            <family val="2"/>
          </rPr>
          <t>SoniaCasas:</t>
        </r>
        <r>
          <rPr>
            <sz val="9"/>
            <color indexed="81"/>
            <rFont val="Tahoma"/>
            <family val="2"/>
          </rPr>
          <t xml:space="preserve">
En el TC Presidente figura como Número de departamentos con tasa de cobertura en Educación Superior por encima del 20%</t>
        </r>
      </text>
    </comment>
    <comment ref="E61" authorId="1" shapeId="0" xr:uid="{00000000-0006-0000-0500-000026000000}">
      <text>
        <r>
          <rPr>
            <b/>
            <sz val="9"/>
            <color indexed="81"/>
            <rFont val="Tahoma"/>
            <family val="2"/>
          </rPr>
          <t>SoniaCasas:
En el TC Presidente figura como Créditos-Beca otorgados para estudios en educación superior</t>
        </r>
      </text>
    </comment>
    <comment ref="K61" authorId="0" shapeId="0" xr:uid="{00000000-0006-0000-0500-000027000000}">
      <text>
        <r>
          <rPr>
            <b/>
            <sz val="9"/>
            <color indexed="81"/>
            <rFont val="Tahoma"/>
            <family val="2"/>
          </rPr>
          <t>Sonia Esperanza Casas Merchan:</t>
        </r>
        <r>
          <rPr>
            <sz val="9"/>
            <color indexed="81"/>
            <rFont val="Tahoma"/>
            <family val="2"/>
          </rPr>
          <t xml:space="preserve">
La LB inicial es de 23.067, pero se solicitó ajuste a 26.889 aprobado por DNP sin aplicar; sin embargo, el concepto de DNP es de inviable cambio LB</t>
        </r>
      </text>
    </comment>
    <comment ref="M61" authorId="1" shapeId="0" xr:uid="{00000000-0006-0000-0500-000028000000}">
      <text>
        <r>
          <rPr>
            <b/>
            <sz val="9"/>
            <color indexed="81"/>
            <rFont val="Tahoma"/>
            <family val="2"/>
          </rPr>
          <t>SoniaCasas:</t>
        </r>
        <r>
          <rPr>
            <sz val="9"/>
            <color indexed="81"/>
            <rFont val="Tahoma"/>
            <family val="2"/>
          </rPr>
          <t xml:space="preserve">
en sinergia 13.498</t>
        </r>
      </text>
    </comment>
    <comment ref="O61" authorId="0" shapeId="0" xr:uid="{00000000-0006-0000-0500-000029000000}">
      <text>
        <r>
          <rPr>
            <b/>
            <sz val="9"/>
            <color indexed="81"/>
            <rFont val="Tahoma"/>
            <family val="2"/>
          </rPr>
          <t>Sonia Esperanza Casas Merchan:</t>
        </r>
        <r>
          <rPr>
            <sz val="9"/>
            <color indexed="81"/>
            <rFont val="Tahoma"/>
            <family val="2"/>
          </rPr>
          <t xml:space="preserve">
La meta está en 37.614 y se solicitó ajustar porque la suma de las metas no da 125.000</t>
        </r>
      </text>
    </comment>
    <comment ref="Q62" authorId="0" shapeId="0" xr:uid="{00000000-0006-0000-0500-00002A000000}">
      <text>
        <r>
          <rPr>
            <b/>
            <sz val="9"/>
            <color indexed="81"/>
            <rFont val="Tahoma"/>
            <family val="2"/>
          </rPr>
          <t>Sonia Esperanza Casas Merchan:</t>
        </r>
        <r>
          <rPr>
            <sz val="9"/>
            <color indexed="81"/>
            <rFont val="Tahoma"/>
            <family val="2"/>
          </rPr>
          <t xml:space="preserve">
En sinergia está como 43,70%</t>
        </r>
      </text>
    </comment>
    <comment ref="K65" authorId="0" shapeId="0" xr:uid="{00000000-0006-0000-0500-00002B000000}">
      <text>
        <r>
          <rPr>
            <b/>
            <sz val="9"/>
            <color indexed="81"/>
            <rFont val="Tahoma"/>
            <family val="2"/>
          </rPr>
          <t>Sonia Esperanza Casas Merchan:</t>
        </r>
        <r>
          <rPr>
            <sz val="9"/>
            <color indexed="81"/>
            <rFont val="Tahoma"/>
            <family val="2"/>
          </rPr>
          <t xml:space="preserve">
La LB inicial eraa de 157.597 y se solicitó ajuste a 82.273, aprobado por DNP pero sin aplicar en SINERGIA</t>
        </r>
      </text>
    </comment>
    <comment ref="K66" authorId="0" shapeId="0" xr:uid="{00000000-0006-0000-0500-00002C000000}">
      <text>
        <r>
          <rPr>
            <b/>
            <sz val="9"/>
            <color indexed="81"/>
            <rFont val="Tahoma"/>
            <family val="2"/>
          </rPr>
          <t>Sonia Esperanza Casas Merchan:</t>
        </r>
        <r>
          <rPr>
            <sz val="9"/>
            <color indexed="81"/>
            <rFont val="Tahoma"/>
            <family val="2"/>
          </rPr>
          <t xml:space="preserve">
La LB inicial era de 13.429 y se solicitó ajustar a 14.623, aprobado por NDP en 2015 pero sin apliar en SINERGIA</t>
        </r>
      </text>
    </comment>
    <comment ref="J67" authorId="0" shapeId="0" xr:uid="{00000000-0006-0000-0500-00002D000000}">
      <text>
        <r>
          <rPr>
            <b/>
            <sz val="9"/>
            <color indexed="81"/>
            <rFont val="Tahoma"/>
            <family val="2"/>
          </rPr>
          <t>Sonia Esperanza Casas Merchan:</t>
        </r>
        <r>
          <rPr>
            <sz val="9"/>
            <color indexed="81"/>
            <rFont val="Tahoma"/>
            <family val="2"/>
          </rPr>
          <t xml:space="preserve">
Esta meta tiene solicitud de ajuste de 4.004 a 2000, aprobada por DNP y pendiente por aplicar en SINERGIA</t>
        </r>
      </text>
    </comment>
    <comment ref="AB67" authorId="0" shapeId="0" xr:uid="{00000000-0006-0000-0500-00002E000000}">
      <text>
        <r>
          <rPr>
            <b/>
            <sz val="9"/>
            <color indexed="81"/>
            <rFont val="Tahoma"/>
            <family val="2"/>
          </rPr>
          <t>Sonia Esperanza Casas Merchan:</t>
        </r>
        <r>
          <rPr>
            <sz val="9"/>
            <color indexed="81"/>
            <rFont val="Tahoma"/>
            <family val="2"/>
          </rPr>
          <t xml:space="preserve">
Esta meta no coincide con la MC ajustada </t>
        </r>
      </text>
    </comment>
    <comment ref="E68" authorId="1" shapeId="0" xr:uid="{00000000-0006-0000-0500-00002F000000}">
      <text>
        <r>
          <rPr>
            <b/>
            <sz val="9"/>
            <color indexed="81"/>
            <rFont val="Tahoma"/>
            <family val="2"/>
          </rPr>
          <t>SoniaCasas:</t>
        </r>
        <r>
          <rPr>
            <sz val="9"/>
            <color indexed="81"/>
            <rFont val="Tahoma"/>
            <family val="2"/>
          </rPr>
          <t xml:space="preserve">
En el TC Presidente figura como Becas otorgadas mediante programa Ser Pilo Paga</t>
        </r>
      </text>
    </comment>
    <comment ref="J74" authorId="0" shapeId="0" xr:uid="{00000000-0006-0000-0500-000030000000}">
      <text>
        <r>
          <rPr>
            <b/>
            <sz val="9"/>
            <color indexed="81"/>
            <rFont val="Tahoma"/>
            <family val="2"/>
          </rPr>
          <t>Sonia Esperanza Casas Merchan:</t>
        </r>
        <r>
          <rPr>
            <sz val="9"/>
            <color indexed="81"/>
            <rFont val="Tahoma"/>
            <family val="2"/>
          </rPr>
          <t xml:space="preserve">
En SINERGIA no hay datos</t>
        </r>
      </text>
    </comment>
    <comment ref="L74" authorId="0" shapeId="0" xr:uid="{00000000-0006-0000-0500-000031000000}">
      <text>
        <r>
          <rPr>
            <b/>
            <sz val="9"/>
            <color indexed="81"/>
            <rFont val="Tahoma"/>
            <family val="2"/>
          </rPr>
          <t>Sonia Esperanza Casas Merchan:</t>
        </r>
        <r>
          <rPr>
            <sz val="9"/>
            <color indexed="81"/>
            <rFont val="Tahoma"/>
            <family val="2"/>
          </rPr>
          <t xml:space="preserve">
En SINERGIA no hay dato disponible</t>
        </r>
      </text>
    </comment>
    <comment ref="O74" authorId="0" shapeId="0" xr:uid="{00000000-0006-0000-0500-000032000000}">
      <text>
        <r>
          <rPr>
            <b/>
            <sz val="9"/>
            <color indexed="81"/>
            <rFont val="Tahoma"/>
            <family val="2"/>
          </rPr>
          <t>Sonia Esperanza Casas Merchan:</t>
        </r>
        <r>
          <rPr>
            <sz val="9"/>
            <color indexed="81"/>
            <rFont val="Tahoma"/>
            <family val="2"/>
          </rPr>
          <t xml:space="preserve">
En SINERGIA no se identifican datos</t>
        </r>
      </text>
    </comment>
    <comment ref="U74" authorId="0" shapeId="0" xr:uid="{00000000-0006-0000-0500-000033000000}">
      <text>
        <r>
          <rPr>
            <b/>
            <sz val="9"/>
            <color indexed="81"/>
            <rFont val="Tahoma"/>
            <family val="2"/>
          </rPr>
          <t>Sonia Esperanza Casas Merchan:</t>
        </r>
        <r>
          <rPr>
            <sz val="9"/>
            <color indexed="81"/>
            <rFont val="Tahoma"/>
            <family val="2"/>
          </rPr>
          <t xml:space="preserve">
En SINERGIA no se identifican datos</t>
        </r>
      </text>
    </comment>
    <comment ref="AB74" authorId="0" shapeId="0" xr:uid="{00000000-0006-0000-0500-000034000000}">
      <text>
        <r>
          <rPr>
            <b/>
            <sz val="9"/>
            <color indexed="81"/>
            <rFont val="Tahoma"/>
            <family val="2"/>
          </rPr>
          <t>Sonia Esperanza Casas Merchan:</t>
        </r>
        <r>
          <rPr>
            <sz val="9"/>
            <color indexed="81"/>
            <rFont val="Tahoma"/>
            <family val="2"/>
          </rPr>
          <t xml:space="preserve">
En SINERGIA no hay dato</t>
        </r>
      </text>
    </comment>
    <comment ref="L78" authorId="0" shapeId="0" xr:uid="{00000000-0006-0000-0500-000035000000}">
      <text>
        <r>
          <rPr>
            <b/>
            <sz val="9"/>
            <color indexed="81"/>
            <rFont val="Tahoma"/>
            <family val="2"/>
          </rPr>
          <t>Sonia Esperanza Casas Merchan:</t>
        </r>
        <r>
          <rPr>
            <sz val="9"/>
            <color indexed="81"/>
            <rFont val="Tahoma"/>
            <family val="2"/>
          </rPr>
          <t xml:space="preserve">
La LB en SINERGIA figura como 94 y es 12 la inicial</t>
        </r>
      </text>
    </comment>
    <comment ref="L79" authorId="0" shapeId="0" xr:uid="{00000000-0006-0000-0500-000036000000}">
      <text>
        <r>
          <rPr>
            <b/>
            <sz val="9"/>
            <color indexed="81"/>
            <rFont val="Tahoma"/>
            <family val="2"/>
          </rPr>
          <t>Sonia Esperanza Casas Merchan:</t>
        </r>
        <r>
          <rPr>
            <sz val="9"/>
            <color indexed="81"/>
            <rFont val="Tahoma"/>
            <family val="2"/>
          </rPr>
          <t xml:space="preserve">
En SINERGIA no existe dato</t>
        </r>
      </text>
    </comment>
    <comment ref="L81" authorId="0" shapeId="0" xr:uid="{00000000-0006-0000-0500-000037000000}">
      <text>
        <r>
          <rPr>
            <b/>
            <sz val="9"/>
            <color indexed="81"/>
            <rFont val="Tahoma"/>
            <family val="2"/>
          </rPr>
          <t>Sonia Esperanza Casas Merchan:</t>
        </r>
        <r>
          <rPr>
            <sz val="9"/>
            <color indexed="81"/>
            <rFont val="Tahoma"/>
            <family val="2"/>
          </rPr>
          <t xml:space="preserve">
En SINERGIA no hay dato</t>
        </r>
      </text>
    </comment>
    <comment ref="AB81" authorId="0" shapeId="0" xr:uid="{00000000-0006-0000-0500-000038000000}">
      <text>
        <r>
          <rPr>
            <b/>
            <sz val="9"/>
            <color indexed="81"/>
            <rFont val="Tahoma"/>
            <family val="2"/>
          </rPr>
          <t>Sonia Esperanza Casas Merchan:</t>
        </r>
        <r>
          <rPr>
            <sz val="9"/>
            <color indexed="81"/>
            <rFont val="Tahoma"/>
            <family val="2"/>
          </rPr>
          <t xml:space="preserve">
En SINERGIA no hay dATO</t>
        </r>
      </text>
    </comment>
    <comment ref="E82" authorId="1" shapeId="0" xr:uid="{00000000-0006-0000-0500-000039000000}">
      <text>
        <r>
          <rPr>
            <b/>
            <sz val="9"/>
            <color indexed="81"/>
            <rFont val="Tahoma"/>
            <family val="2"/>
          </rPr>
          <t>SoniaCasas:</t>
        </r>
        <r>
          <rPr>
            <sz val="9"/>
            <color indexed="81"/>
            <rFont val="Tahoma"/>
            <family val="2"/>
          </rPr>
          <t xml:space="preserve">
no es de PND es de CONPES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Usuario de Windows</author>
    <author>Elizabeth Moreno Barbosa</author>
  </authors>
  <commentList>
    <comment ref="C10" authorId="0" shapeId="0" xr:uid="{00000000-0006-0000-0D00-000001000000}">
      <text>
        <r>
          <rPr>
            <b/>
            <sz val="9"/>
            <color indexed="81"/>
            <rFont val="Tahoma"/>
            <family val="2"/>
          </rPr>
          <t xml:space="preserve">DRG:
En DNP la Meta 2015 es 5,35. </t>
        </r>
      </text>
    </comment>
    <comment ref="C12" authorId="0" shapeId="0" xr:uid="{00000000-0006-0000-0D00-000002000000}">
      <text>
        <r>
          <rPr>
            <b/>
            <sz val="9"/>
            <color indexed="81"/>
            <rFont val="Tahoma"/>
            <family val="2"/>
          </rPr>
          <t>DRG:
En DNP la línea base es 71,70. No tiene Metas 2015, 2016, 2017, 2018. 
La Meta cuatrienio es 86,31</t>
        </r>
      </text>
    </comment>
    <comment ref="C13" authorId="0" shapeId="0" xr:uid="{00000000-0006-0000-0D00-000003000000}">
      <text>
        <r>
          <rPr>
            <b/>
            <sz val="9"/>
            <color indexed="81"/>
            <rFont val="Tahoma"/>
            <family val="2"/>
          </rPr>
          <t>DRG:
Verificar en DNP línea base es 73,00. Meta 2015 es 77,54. Meta 2016 es 79,80. Meta 2017 es 82,07. Meta 2018 es 84,33 y Meta cuatrienio es 84,33</t>
        </r>
      </text>
    </comment>
    <comment ref="C14" authorId="0" shapeId="0" xr:uid="{00000000-0006-0000-0D00-000004000000}">
      <text>
        <r>
          <rPr>
            <b/>
            <sz val="9"/>
            <color indexed="81"/>
            <rFont val="Tahoma"/>
            <family val="2"/>
          </rPr>
          <t>DRG
Verificar en DNP Meta 2015 es 120.180. Meta 2016 es 125.441. Meta 2017 es 130.703. meta 2018 y Meta cuatrienio es 135.964.</t>
        </r>
      </text>
    </comment>
    <comment ref="C16" authorId="0" shapeId="0" xr:uid="{00000000-0006-0000-0D00-000005000000}">
      <text>
        <r>
          <rPr>
            <b/>
            <sz val="9"/>
            <color indexed="81"/>
            <rFont val="Tahoma"/>
            <family val="2"/>
          </rPr>
          <t>DRG:
Revisar, en DNP línea base es 73,31</t>
        </r>
      </text>
    </comment>
    <comment ref="C17" authorId="0" shapeId="0" xr:uid="{00000000-0006-0000-0D00-000006000000}">
      <text>
        <r>
          <rPr>
            <b/>
            <sz val="9"/>
            <color indexed="81"/>
            <rFont val="Tahoma"/>
            <family val="2"/>
          </rPr>
          <t>DRG:
Revisar en DNP la línea base es 404.056</t>
        </r>
      </text>
    </comment>
    <comment ref="C25" authorId="0" shapeId="0" xr:uid="{00000000-0006-0000-0D00-000007000000}">
      <text>
        <r>
          <rPr>
            <b/>
            <sz val="9"/>
            <color indexed="81"/>
            <rFont val="Tahoma"/>
            <family val="2"/>
          </rPr>
          <t xml:space="preserve">DRG:
Verificar, DNP línea base es 5.258. </t>
        </r>
      </text>
    </comment>
    <comment ref="C26" authorId="0" shapeId="0" xr:uid="{00000000-0006-0000-0D00-000008000000}">
      <text>
        <r>
          <rPr>
            <b/>
            <sz val="9"/>
            <color indexed="81"/>
            <rFont val="Tahoma"/>
            <family val="2"/>
          </rPr>
          <t>DRG:
Verificar en DNP línea base es 659.000, no tienen meta para 2015, 2016, 2017 ni 2018. y la meta para cuatrienio es 457.081</t>
        </r>
      </text>
    </comment>
    <comment ref="C30" authorId="0" shapeId="0" xr:uid="{00000000-0006-0000-0D00-000009000000}">
      <text>
        <r>
          <rPr>
            <b/>
            <sz val="9"/>
            <color indexed="81"/>
            <rFont val="Tahoma"/>
            <family val="2"/>
          </rPr>
          <t xml:space="preserve">DRG: 
</t>
        </r>
        <r>
          <rPr>
            <sz val="9"/>
            <color indexed="81"/>
            <rFont val="Tahoma"/>
            <family val="2"/>
          </rPr>
          <t>DNP tiene en base reporte cualitativo hasta octubre de 2016</t>
        </r>
      </text>
    </comment>
    <comment ref="C35" authorId="0" shapeId="0" xr:uid="{00000000-0006-0000-0D00-00000A000000}">
      <text>
        <r>
          <rPr>
            <b/>
            <sz val="9"/>
            <color indexed="81"/>
            <rFont val="Tahoma"/>
            <family val="2"/>
          </rPr>
          <t xml:space="preserve">DRG. </t>
        </r>
        <r>
          <rPr>
            <sz val="9"/>
            <color indexed="81"/>
            <rFont val="Tahoma"/>
            <family val="2"/>
          </rPr>
          <t xml:space="preserve">OK, según base </t>
        </r>
        <r>
          <rPr>
            <b/>
            <sz val="9"/>
            <color indexed="81"/>
            <rFont val="Tahoma"/>
            <family val="2"/>
          </rPr>
          <t>DNP</t>
        </r>
      </text>
    </comment>
    <comment ref="C36" authorId="0" shapeId="0" xr:uid="{00000000-0006-0000-0D00-00000B000000}">
      <text>
        <r>
          <rPr>
            <b/>
            <sz val="9"/>
            <color indexed="81"/>
            <rFont val="Tahoma"/>
            <family val="2"/>
          </rPr>
          <t xml:space="preserve">DRG:
</t>
        </r>
        <r>
          <rPr>
            <sz val="9"/>
            <color indexed="81"/>
            <rFont val="Tahoma"/>
            <family val="2"/>
          </rPr>
          <t>En base DNP reporta avance cualitativo sólo hasta mayo de 2016</t>
        </r>
      </text>
    </comment>
    <comment ref="C37" authorId="0" shapeId="0" xr:uid="{00000000-0006-0000-0D00-00000C000000}">
      <text>
        <r>
          <rPr>
            <b/>
            <sz val="9"/>
            <color indexed="81"/>
            <rFont val="Tahoma"/>
            <family val="2"/>
          </rPr>
          <t xml:space="preserve">DRG:
</t>
        </r>
        <r>
          <rPr>
            <sz val="9"/>
            <color indexed="81"/>
            <rFont val="Tahoma"/>
            <family val="2"/>
          </rPr>
          <t>Verificar, en base DNP línea base es 29,40. Meta 2015 32,00. Meta 2016 es 33,00. Meta 2017 es 36,60. Meta 2018 es 38,00. Meta cuatrienio 38,00</t>
        </r>
      </text>
    </comment>
    <comment ref="C39" authorId="0" shapeId="0" xr:uid="{00000000-0006-0000-0D00-00000D000000}">
      <text>
        <r>
          <rPr>
            <b/>
            <sz val="9"/>
            <color indexed="81"/>
            <rFont val="Tahoma"/>
            <family val="2"/>
          </rPr>
          <t xml:space="preserve">DRG:
</t>
        </r>
        <r>
          <rPr>
            <sz val="9"/>
            <color indexed="81"/>
            <rFont val="Tahoma"/>
            <family val="2"/>
          </rPr>
          <t>Revisar, DNP línea base es 4.293. Meta 2016 es 2.335. Meta 2017 es 2.367. Meta 2017 esta 2.298. Reporte de DNP hasta 31 diciembre/16</t>
        </r>
      </text>
    </comment>
    <comment ref="C40" authorId="0" shapeId="0" xr:uid="{00000000-0006-0000-0D00-00000E000000}">
      <text>
        <r>
          <rPr>
            <b/>
            <sz val="9"/>
            <color indexed="81"/>
            <rFont val="Tahoma"/>
            <family val="2"/>
          </rPr>
          <t>DRG:</t>
        </r>
        <r>
          <rPr>
            <sz val="9"/>
            <color indexed="81"/>
            <rFont val="Tahoma"/>
            <family val="2"/>
          </rPr>
          <t xml:space="preserve">
Revisar, en DNP línea base es 94,00. Meta 2018 es 12 y Meta cuatrienio es 12
El reporte cualitativo del DNP esta hasta octubre de 2016</t>
        </r>
      </text>
    </comment>
    <comment ref="C41" authorId="0" shapeId="0" xr:uid="{00000000-0006-0000-0D00-00000F000000}">
      <text>
        <r>
          <rPr>
            <b/>
            <sz val="9"/>
            <color indexed="81"/>
            <rFont val="Tahoma"/>
            <family val="2"/>
          </rPr>
          <t xml:space="preserve">DRG:
</t>
        </r>
        <r>
          <rPr>
            <sz val="9"/>
            <color indexed="81"/>
            <rFont val="Tahoma"/>
            <family val="2"/>
          </rPr>
          <t>Reporte cualitativo de DNP está solo hasta octubre de 2016</t>
        </r>
      </text>
    </comment>
    <comment ref="C42" authorId="0" shapeId="0" xr:uid="{00000000-0006-0000-0D00-000010000000}">
      <text>
        <r>
          <rPr>
            <b/>
            <sz val="9"/>
            <color indexed="81"/>
            <rFont val="Tahoma"/>
            <family val="2"/>
          </rPr>
          <t>DRG:</t>
        </r>
        <r>
          <rPr>
            <sz val="9"/>
            <color indexed="81"/>
            <rFont val="Tahoma"/>
            <family val="2"/>
          </rPr>
          <t xml:space="preserve">
Verificar, en DNP Línea base es 5,07. Meta 2015 es 5,07. Meta 2016 es 5,25. Meta 2017 es 5,40. Meta 2018 es 5,61 y Meta cuatrienio 5,61
DNP reporta avance cualitativo solo a diciembre de 2016</t>
        </r>
      </text>
    </comment>
    <comment ref="C43" authorId="0" shapeId="0" xr:uid="{00000000-0006-0000-0D00-000011000000}">
      <text>
        <r>
          <rPr>
            <b/>
            <sz val="9"/>
            <color indexed="81"/>
            <rFont val="Tahoma"/>
            <family val="2"/>
          </rPr>
          <t>DRG: 
DNP reporta avance cualitativo hasta diciembre de 2016 .</t>
        </r>
      </text>
    </comment>
    <comment ref="C44" authorId="0" shapeId="0" xr:uid="{00000000-0006-0000-0D00-000012000000}">
      <text>
        <r>
          <rPr>
            <b/>
            <sz val="9"/>
            <color indexed="81"/>
            <rFont val="Tahoma"/>
            <family val="2"/>
          </rPr>
          <t>DRG:
En BASE dnp Meta 2018 y Meta cuatrienio es 2.300.000. Solo reporta avance cualitativo a diciembre de 2016</t>
        </r>
      </text>
    </comment>
    <comment ref="C45" authorId="0" shapeId="0" xr:uid="{00000000-0006-0000-0D00-000013000000}">
      <text>
        <r>
          <rPr>
            <b/>
            <sz val="9"/>
            <color indexed="81"/>
            <rFont val="Tahoma"/>
            <family val="2"/>
          </rPr>
          <t xml:space="preserve">DRG: </t>
        </r>
        <r>
          <rPr>
            <sz val="9"/>
            <color indexed="81"/>
            <rFont val="Tahoma"/>
            <family val="2"/>
          </rPr>
          <t xml:space="preserve">Verificar con DNP la fecha de corte (columna AC) y fecha de modificación (columna AD). Archivo </t>
        </r>
        <r>
          <rPr>
            <b/>
            <sz val="9"/>
            <color indexed="81"/>
            <rFont val="Tahoma"/>
            <family val="2"/>
          </rPr>
          <t>"Detalle indicadores Educación 13032017"</t>
        </r>
      </text>
    </comment>
    <comment ref="C47" authorId="0" shapeId="0" xr:uid="{00000000-0006-0000-0D00-000014000000}">
      <text>
        <r>
          <rPr>
            <b/>
            <sz val="9"/>
            <color indexed="81"/>
            <rFont val="Tahoma"/>
            <family val="2"/>
          </rPr>
          <t xml:space="preserve">DRG: </t>
        </r>
        <r>
          <rPr>
            <sz val="9"/>
            <color indexed="81"/>
            <rFont val="Tahoma"/>
            <family val="2"/>
          </rPr>
          <t>EL excel del MEN tiene reportes actualizados, hay un atraso en el cargue de SINERGIA, debido a que el área responsable del reporte entregó cuantitativo de junio de 2016 en febrero de 2017. Se debe solicitar al DNP el cargue masivo previo ajuste de reportes con observaciones.</t>
        </r>
      </text>
    </comment>
    <comment ref="C51" authorId="0" shapeId="0" xr:uid="{00000000-0006-0000-0D00-000015000000}">
      <text>
        <r>
          <rPr>
            <b/>
            <sz val="9"/>
            <color indexed="81"/>
            <rFont val="Tahoma"/>
            <family val="2"/>
          </rPr>
          <t xml:space="preserve">DRG: </t>
        </r>
        <r>
          <rPr>
            <sz val="9"/>
            <color indexed="81"/>
            <rFont val="Tahoma"/>
            <family val="2"/>
          </rPr>
          <t xml:space="preserve"> </t>
        </r>
        <r>
          <rPr>
            <b/>
            <sz val="9"/>
            <color indexed="81"/>
            <rFont val="Tahoma"/>
            <family val="2"/>
          </rPr>
          <t xml:space="preserve">Verificar la línea base 2014, en DNP esta en 10 </t>
        </r>
      </text>
    </comment>
    <comment ref="C52" authorId="1" shapeId="0" xr:uid="{00000000-0006-0000-0D00-000016000000}">
      <text>
        <r>
          <rPr>
            <b/>
            <sz val="14"/>
            <color indexed="81"/>
            <rFont val="Tahoma"/>
            <family val="2"/>
          </rPr>
          <t>En el tablero de Presidencia las metas anuales son diferentes (Meta 2018: 297.729)</t>
        </r>
        <r>
          <rPr>
            <b/>
            <sz val="9"/>
            <color indexed="81"/>
            <rFont val="Tahoma"/>
            <family val="2"/>
          </rPr>
          <t xml:space="preserve">
</t>
        </r>
      </text>
    </comment>
    <comment ref="C53" authorId="0" shapeId="0" xr:uid="{00000000-0006-0000-0D00-000017000000}">
      <text>
        <r>
          <rPr>
            <b/>
            <sz val="9"/>
            <color indexed="81"/>
            <rFont val="Tahoma"/>
            <family val="2"/>
          </rPr>
          <t>DRG: 
R</t>
        </r>
        <r>
          <rPr>
            <sz val="9"/>
            <color indexed="81"/>
            <rFont val="Tahoma"/>
            <family val="2"/>
          </rPr>
          <t xml:space="preserve">evisar el avance cualitativo que reporta el DNP …"al cierre del 2016, se crearon </t>
        </r>
        <r>
          <rPr>
            <b/>
            <sz val="9"/>
            <color indexed="81"/>
            <rFont val="Tahoma"/>
            <family val="2"/>
          </rPr>
          <t>2015</t>
        </r>
        <r>
          <rPr>
            <sz val="9"/>
            <color indexed="81"/>
            <rFont val="Tahoma"/>
            <family val="2"/>
          </rPr>
          <t xml:space="preserve"> nuevos programas Técnicos profesionales y tecnológicos, con los que se espera aumentar la oferta.". </t>
        </r>
        <r>
          <rPr>
            <b/>
            <sz val="9"/>
            <color indexed="81"/>
            <rFont val="Tahoma"/>
            <family val="2"/>
          </rPr>
          <t>NO COINCIDE CON LA CIFRA DE LA MATRIZ DEL MEN. 
Revisar este dato en reporte de febrero dice 2015 y en marzo dice 217</t>
        </r>
      </text>
    </comment>
    <comment ref="C54" authorId="0" shapeId="0" xr:uid="{00000000-0006-0000-0D00-000018000000}">
      <text>
        <r>
          <rPr>
            <b/>
            <sz val="9"/>
            <color indexed="81"/>
            <rFont val="Tahoma"/>
            <family val="2"/>
          </rPr>
          <t xml:space="preserve">DRG: </t>
        </r>
        <r>
          <rPr>
            <sz val="9"/>
            <color indexed="81"/>
            <rFont val="Tahoma"/>
            <family val="2"/>
          </rPr>
          <t>Revisar ;en la base de DNP aparece dos (2) veces el mismo indicador (fila 22 y fila 25) con diferentes datos (metas y ID de indicador</t>
        </r>
      </text>
    </comment>
    <comment ref="C55" authorId="0" shapeId="0" xr:uid="{00000000-0006-0000-0D00-000019000000}">
      <text>
        <r>
          <rPr>
            <b/>
            <sz val="9"/>
            <color indexed="81"/>
            <rFont val="Tahoma"/>
            <family val="2"/>
          </rPr>
          <t>DRG: 
Verificar: en base DNP: Línea base 2014: 545.444 y en base de Planeación es 464.164</t>
        </r>
      </text>
    </comment>
    <comment ref="C57" authorId="0" shapeId="0" xr:uid="{00000000-0006-0000-0D00-00001A000000}">
      <text>
        <r>
          <rPr>
            <b/>
            <sz val="9"/>
            <color indexed="81"/>
            <rFont val="Tahoma"/>
            <family val="2"/>
          </rPr>
          <t xml:space="preserve">DRG: </t>
        </r>
        <r>
          <rPr>
            <sz val="9"/>
            <color indexed="81"/>
            <rFont val="Tahoma"/>
            <family val="2"/>
          </rPr>
          <t xml:space="preserve">En la base del DNP éste indicador aparece con el nombre </t>
        </r>
        <r>
          <rPr>
            <b/>
            <sz val="9"/>
            <color indexed="81"/>
            <rFont val="Tahoma"/>
            <family val="2"/>
          </rPr>
          <t>"Tasa de cobertura en Educación Superior</t>
        </r>
        <r>
          <rPr>
            <sz val="9"/>
            <color indexed="81"/>
            <rFont val="Tahoma"/>
            <family val="2"/>
          </rPr>
          <t xml:space="preserve">"(fila 25)  y el análisis cualitativo reportado para marzo ene las dos (2) bases </t>
        </r>
        <r>
          <rPr>
            <b/>
            <sz val="9"/>
            <color indexed="81"/>
            <rFont val="Tahoma"/>
            <family val="2"/>
          </rPr>
          <t>NO</t>
        </r>
        <r>
          <rPr>
            <sz val="9"/>
            <color indexed="81"/>
            <rFont val="Tahoma"/>
            <family val="2"/>
          </rPr>
          <t xml:space="preserve"> coincide</t>
        </r>
      </text>
    </comment>
    <comment ref="C58" authorId="0" shapeId="0" xr:uid="{00000000-0006-0000-0D00-00001B000000}">
      <text>
        <r>
          <rPr>
            <b/>
            <sz val="9"/>
            <color indexed="81"/>
            <rFont val="Tahoma"/>
            <family val="2"/>
          </rPr>
          <t xml:space="preserve">DRG
</t>
        </r>
        <r>
          <rPr>
            <sz val="9"/>
            <color indexed="81"/>
            <rFont val="Tahoma"/>
            <family val="2"/>
          </rPr>
          <t>Verificar no coinciden las cifras, en DNP Línea base 23.067. Meta 2016: 37614.
El ultimo reporte cualitativo de DNP es de DICIEMBRE 2016</t>
        </r>
      </text>
    </comment>
    <comment ref="C59" authorId="0" shapeId="0" xr:uid="{00000000-0006-0000-0D00-00001C000000}">
      <text>
        <r>
          <rPr>
            <b/>
            <sz val="9"/>
            <color indexed="81"/>
            <rFont val="Tahoma"/>
            <family val="2"/>
          </rPr>
          <t xml:space="preserve">DRG:
</t>
        </r>
        <r>
          <rPr>
            <sz val="9"/>
            <color indexed="81"/>
            <rFont val="Tahoma"/>
            <family val="2"/>
          </rPr>
          <t>El ultimo reporte  cualitativo del DNP es de enero de 2016</t>
        </r>
        <r>
          <rPr>
            <b/>
            <sz val="9"/>
            <color indexed="81"/>
            <rFont val="Tahoma"/>
            <family val="2"/>
          </rPr>
          <t xml:space="preserve">
</t>
        </r>
      </text>
    </comment>
    <comment ref="C61" authorId="0" shapeId="0" xr:uid="{00000000-0006-0000-0D00-00001D000000}">
      <text>
        <r>
          <rPr>
            <b/>
            <sz val="9"/>
            <color indexed="81"/>
            <rFont val="Tahoma"/>
            <family val="2"/>
          </rPr>
          <t xml:space="preserve">DRG:
</t>
        </r>
        <r>
          <rPr>
            <sz val="9"/>
            <color indexed="81"/>
            <rFont val="Tahoma"/>
            <family val="2"/>
          </rPr>
          <t>Verificar, en base DNP: Meta  2016 es de 12, Meta 2017 es 20</t>
        </r>
      </text>
    </comment>
    <comment ref="C62" authorId="0" shapeId="0" xr:uid="{00000000-0006-0000-0D00-00001E000000}">
      <text>
        <r>
          <rPr>
            <b/>
            <sz val="9"/>
            <color indexed="81"/>
            <rFont val="Tahoma"/>
            <family val="2"/>
          </rPr>
          <t>DRG:</t>
        </r>
        <r>
          <rPr>
            <sz val="9"/>
            <color indexed="81"/>
            <rFont val="Tahoma"/>
            <family val="2"/>
          </rPr>
          <t xml:space="preserve">
Verificar, Línea base en DNP 157.597
revisar el reporte de avance cualitativo de enero de la base del  DNP, no coincide toda la información que se reportó</t>
        </r>
      </text>
    </comment>
    <comment ref="C63" authorId="0" shapeId="0" xr:uid="{00000000-0006-0000-0D00-00001F000000}">
      <text>
        <r>
          <rPr>
            <b/>
            <sz val="9"/>
            <color indexed="81"/>
            <rFont val="Tahoma"/>
            <family val="2"/>
          </rPr>
          <t xml:space="preserve">DRG:
</t>
        </r>
        <r>
          <rPr>
            <sz val="9"/>
            <color indexed="81"/>
            <rFont val="Tahoma"/>
            <family val="2"/>
          </rPr>
          <t xml:space="preserve">En DNP, línea base es 13.429
</t>
        </r>
      </text>
    </comment>
    <comment ref="C64" authorId="0" shapeId="0" xr:uid="{00000000-0006-0000-0D00-000020000000}">
      <text>
        <r>
          <rPr>
            <b/>
            <sz val="9"/>
            <color indexed="81"/>
            <rFont val="Tahoma"/>
            <family val="2"/>
          </rPr>
          <t>DRG:</t>
        </r>
        <r>
          <rPr>
            <sz val="9"/>
            <color indexed="81"/>
            <rFont val="Tahoma"/>
            <family val="2"/>
          </rPr>
          <t xml:space="preserve">
Verificar la linea basea en DNP es 2.709, meta 2015 es 3.227, meta 2016 es 3486, meta 2017 es 3.746,  meta 2018 4.004, meta cuatrienio 4.004
</t>
        </r>
        <r>
          <rPr>
            <b/>
            <sz val="9"/>
            <color indexed="81"/>
            <rFont val="Tahoma"/>
            <family val="2"/>
          </rPr>
          <t>EL ULTIMO REPORTE DE DNP, ESTA A DICIEMBRE DE 2015</t>
        </r>
      </text>
    </comment>
    <comment ref="C67" authorId="0" shapeId="0" xr:uid="{00000000-0006-0000-0D00-000021000000}">
      <text>
        <r>
          <rPr>
            <b/>
            <sz val="9"/>
            <color indexed="81"/>
            <rFont val="Tahoma"/>
            <family val="2"/>
          </rPr>
          <t xml:space="preserve">OK, </t>
        </r>
        <r>
          <rPr>
            <sz val="9"/>
            <color indexed="81"/>
            <rFont val="Tahoma"/>
            <family val="2"/>
          </rPr>
          <t>SEGÚN BASE DE</t>
        </r>
        <r>
          <rPr>
            <b/>
            <sz val="9"/>
            <color indexed="81"/>
            <rFont val="Tahoma"/>
            <family val="2"/>
          </rPr>
          <t xml:space="preserve"> DNP</t>
        </r>
      </text>
    </comment>
    <comment ref="C68" authorId="0" shapeId="0" xr:uid="{00000000-0006-0000-0D00-000022000000}">
      <text>
        <r>
          <rPr>
            <b/>
            <sz val="9"/>
            <color indexed="81"/>
            <rFont val="Tahoma"/>
            <family val="2"/>
          </rPr>
          <t xml:space="preserve">DRG: 
</t>
        </r>
        <r>
          <rPr>
            <sz val="9"/>
            <color indexed="81"/>
            <rFont val="Tahoma"/>
            <family val="2"/>
          </rPr>
          <t>OK según  BASE DE DNP</t>
        </r>
      </text>
    </comment>
    <comment ref="C70" authorId="0" shapeId="0" xr:uid="{00000000-0006-0000-0D00-000023000000}">
      <text>
        <r>
          <rPr>
            <b/>
            <sz val="9"/>
            <color indexed="81"/>
            <rFont val="Tahoma"/>
            <family val="2"/>
          </rPr>
          <t xml:space="preserve">DRG. </t>
        </r>
        <r>
          <rPr>
            <sz val="9"/>
            <color indexed="81"/>
            <rFont val="Tahoma"/>
            <family val="2"/>
          </rPr>
          <t>Ok según base de</t>
        </r>
        <r>
          <rPr>
            <b/>
            <sz val="9"/>
            <color indexed="81"/>
            <rFont val="Tahoma"/>
            <family val="2"/>
          </rPr>
          <t xml:space="preserve"> DNP
</t>
        </r>
      </text>
    </comment>
    <comment ref="C71" authorId="0" shapeId="0" xr:uid="{00000000-0006-0000-0D00-000024000000}">
      <text>
        <r>
          <rPr>
            <b/>
            <sz val="9"/>
            <color indexed="81"/>
            <rFont val="Tahoma"/>
            <family val="2"/>
          </rPr>
          <t>DRG
Revisar e DNP línea base es 300. No reportan meta para 2015, 2016, 2017, 2018, ni Meta cuatrienio</t>
        </r>
      </text>
    </comment>
    <comment ref="C72" authorId="0" shapeId="0" xr:uid="{00000000-0006-0000-0D00-000025000000}">
      <text>
        <r>
          <rPr>
            <b/>
            <sz val="9"/>
            <color indexed="81"/>
            <rFont val="Tahoma"/>
            <family val="2"/>
          </rPr>
          <t>DRG
OK, SEGÚN BASE DE DNP</t>
        </r>
      </text>
    </comment>
    <comment ref="C73" authorId="0" shapeId="0" xr:uid="{00000000-0006-0000-0D00-000026000000}">
      <text>
        <r>
          <rPr>
            <b/>
            <sz val="9"/>
            <color indexed="81"/>
            <rFont val="Tahoma"/>
            <family val="2"/>
          </rPr>
          <t>DRG
DNP no tiene línea base, ni metas para 2015, 2016, 2017, 2018 ni Meta cuatrienio</t>
        </r>
      </text>
    </comment>
    <comment ref="C74" authorId="0" shapeId="0" xr:uid="{00000000-0006-0000-0D00-000027000000}">
      <text>
        <r>
          <rPr>
            <b/>
            <sz val="9"/>
            <color indexed="81"/>
            <rFont val="Tahoma"/>
            <family val="2"/>
          </rPr>
          <t>DRG:
Revisar la observación de febrero, habla de una reunión que se realizará el próximo 13 de enero de 2017. 
El avance cualitativo no coincide con el último reportado por DNP (febrero 2017)</t>
        </r>
      </text>
    </comment>
    <comment ref="C75" authorId="0" shapeId="0" xr:uid="{00000000-0006-0000-0D00-000028000000}">
      <text>
        <r>
          <rPr>
            <b/>
            <sz val="9"/>
            <color indexed="81"/>
            <rFont val="Tahoma"/>
            <family val="2"/>
          </rPr>
          <t>DRG:
En base DNP. Meta 2015 es 94. DNP reporta avance cualitativo hasta octubre de 2016</t>
        </r>
      </text>
    </comment>
    <comment ref="C76" authorId="0" shapeId="0" xr:uid="{00000000-0006-0000-0D00-000029000000}">
      <text>
        <r>
          <rPr>
            <b/>
            <sz val="9"/>
            <color indexed="81"/>
            <rFont val="Tahoma"/>
            <family val="2"/>
          </rPr>
          <t>DRG
DNP reporta avance cualitativo solo a octubre de 2016</t>
        </r>
      </text>
    </comment>
    <comment ref="C77" authorId="0" shapeId="0" xr:uid="{00000000-0006-0000-0D00-00002A000000}">
      <text>
        <r>
          <rPr>
            <b/>
            <sz val="9"/>
            <color indexed="81"/>
            <rFont val="Tahoma"/>
            <family val="2"/>
          </rPr>
          <t xml:space="preserve">DRG
</t>
        </r>
        <r>
          <rPr>
            <sz val="9"/>
            <color indexed="81"/>
            <rFont val="Tahoma"/>
            <family val="2"/>
          </rPr>
          <t>DNP reporta avance cualitativo hasta noviembre de 2016</t>
        </r>
      </text>
    </comment>
    <comment ref="C78" authorId="0" shapeId="0" xr:uid="{00000000-0006-0000-0D00-00002B000000}">
      <text>
        <r>
          <rPr>
            <b/>
            <sz val="9"/>
            <color indexed="81"/>
            <rFont val="Tahoma"/>
            <family val="2"/>
          </rPr>
          <t xml:space="preserve">DRG
OK según base DNP
</t>
        </r>
      </text>
    </comment>
    <comment ref="C79" authorId="0" shapeId="0" xr:uid="{00000000-0006-0000-0D00-00002C000000}">
      <text>
        <r>
          <rPr>
            <b/>
            <sz val="9"/>
            <color indexed="81"/>
            <rFont val="Tahoma"/>
            <family val="2"/>
          </rPr>
          <t>DRG</t>
        </r>
        <r>
          <rPr>
            <sz val="9"/>
            <color indexed="81"/>
            <rFont val="Tahoma"/>
            <family val="2"/>
          </rPr>
          <t xml:space="preserve">
DNP no reporta Meta de cuatrienio. Reporta avance cualitativo solo a noviembre de 2016</t>
        </r>
        <r>
          <rPr>
            <b/>
            <sz val="9"/>
            <color indexed="81"/>
            <rFont val="Tahoma"/>
            <family val="2"/>
          </rPr>
          <t>. 
revisar el contenido del avance cualitativo. No coincide con el de la base del MEN</t>
        </r>
      </text>
    </comment>
    <comment ref="C83" authorId="0" shapeId="0" xr:uid="{00000000-0006-0000-0D00-00002D000000}">
      <text>
        <r>
          <rPr>
            <b/>
            <sz val="9"/>
            <color indexed="81"/>
            <rFont val="Tahoma"/>
            <family val="2"/>
          </rPr>
          <t>DRG:
Revisar el avance cualitativo que reporta DNP para diciembre, no coincide con la basa del MEN</t>
        </r>
      </text>
    </comment>
    <comment ref="C85" authorId="0" shapeId="0" xr:uid="{00000000-0006-0000-0D00-00002E000000}">
      <text>
        <r>
          <rPr>
            <b/>
            <sz val="9"/>
            <color indexed="81"/>
            <rFont val="Tahoma"/>
            <family val="2"/>
          </rPr>
          <t xml:space="preserve">DRG
</t>
        </r>
        <r>
          <rPr>
            <sz val="9"/>
            <color indexed="81"/>
            <rFont val="Tahoma"/>
            <family val="2"/>
          </rPr>
          <t>El último reporte del DNP es de junio de 2016</t>
        </r>
      </text>
    </comment>
    <comment ref="C86" authorId="0" shapeId="0" xr:uid="{00000000-0006-0000-0D00-00002F000000}">
      <text>
        <r>
          <rPr>
            <b/>
            <sz val="9"/>
            <color indexed="81"/>
            <rFont val="Tahoma"/>
            <family val="2"/>
          </rPr>
          <t>DRG
DNP reporta avance cualitativo solo hasta junio de 2016.
Indicador en proceso de revisión y validación por parte del DNP  según oficio No. 2017EE007904</t>
        </r>
      </text>
    </comment>
    <comment ref="C87" authorId="0" shapeId="0" xr:uid="{00000000-0006-0000-0D00-000030000000}">
      <text>
        <r>
          <rPr>
            <b/>
            <sz val="9"/>
            <color indexed="81"/>
            <rFont val="Tahoma"/>
            <family val="2"/>
          </rPr>
          <t>DRG
Indicador en proceso de revisión y validación por parte del DNP
ndicador en proceso de revisión y validación por parte del DNP  según oficio No. 2017EE007904</t>
        </r>
      </text>
    </comment>
  </commentList>
</comments>
</file>

<file path=xl/sharedStrings.xml><?xml version="1.0" encoding="utf-8"?>
<sst xmlns="http://schemas.openxmlformats.org/spreadsheetml/2006/main" count="3855" uniqueCount="468">
  <si>
    <t xml:space="preserve">ESTADO DE INDICADORES PND </t>
  </si>
  <si>
    <t>Meta Cuatrienio 2015-2018</t>
  </si>
  <si>
    <t>Tasa de cobertura bruta en educación media</t>
  </si>
  <si>
    <t>Tasa de supervivencia de grado primero a 11</t>
  </si>
  <si>
    <t>Proporción de niños entre 6 y 16 años en el hogar que asisten al colegio</t>
  </si>
  <si>
    <t>Tasa de deserción intra-anual de educación preescolar, básica y media</t>
  </si>
  <si>
    <t xml:space="preserve">Tasa de cobertura bruta en educación media en la zona rural
</t>
  </si>
  <si>
    <t>Sedes rurales intervenidas con mejoramiento o construcción de infraestructura</t>
  </si>
  <si>
    <t>Porcentaje de docentes que entran al magisterio que se encuentran en los quintiles superiores (4 y 5) de las pruebas SABER PRO en Razonamiento Cuantitativo</t>
  </si>
  <si>
    <t>Porcentaje de docentes que entran al magisterio que se encuentran en los quintiles superiores (4 y 5) de las pruebas SABER PRO en Lectura Crítica</t>
  </si>
  <si>
    <t>Tasa de analfabetismo para población de 15 años y más</t>
  </si>
  <si>
    <t>Nuevos jóvenes y adultos alfabetizados</t>
  </si>
  <si>
    <t>Tasa de cobertura bruta en educación media - Centro Sur</t>
  </si>
  <si>
    <t>Tasa de cobertura bruta de educación media - Llanos</t>
  </si>
  <si>
    <t>Estudiantes matriculados en programas de educación flexible en la región llanos</t>
  </si>
  <si>
    <t>Sedes educativas rurales con Modelos Educativos Flexibles - Llanos</t>
  </si>
  <si>
    <t>Tasa de cobertura bruta en educación media  - Pacífico</t>
  </si>
  <si>
    <t>Estudiantes matriculados en programas de educación flexible en la región - Pacífico</t>
  </si>
  <si>
    <t>Sedes educativas rurales con Modelos Educativos Flexibles - Pacífico</t>
  </si>
  <si>
    <t>Tasa de cobertura bruta en educación media - Eje Cafetero</t>
  </si>
  <si>
    <t>Sedes rurales oficiales intervenidas con mejoramiento o construcción de infraestructura - Eje Cafetero</t>
  </si>
  <si>
    <t>Tasa de supervivencia de grado primero a once en zona rural en la región del eje cafetero</t>
  </si>
  <si>
    <t>Sedes educativas rurales con Modelos Educativos Flexibles - Eje Cafetero</t>
  </si>
  <si>
    <t>Tasa de cobertura bruta en educación media - Caribe</t>
  </si>
  <si>
    <t>Estudiantes matriculados en programas de educación flexible en la región - Caribe</t>
  </si>
  <si>
    <t>Sedes educativas de la región con Modelos Educativos Flexibles - Caribe</t>
  </si>
  <si>
    <t>Personas de 15 años y más analfabetas - Caribe</t>
  </si>
  <si>
    <t>Aulas nuevas y ampliadas del Plan de Infraestructura para atender Jornada Única</t>
  </si>
  <si>
    <t>Tasa de cobertura bruta en educación media en San Andrés</t>
  </si>
  <si>
    <t>Porcentaje de colegios oficiales en las categorias A+, A y B en las pruebas Saber 11</t>
  </si>
  <si>
    <t>Porcentaje de la población evaluada en el sector oficial en las pruebas SABER 5 que sube de nivel de logro, respecto a la línea base</t>
  </si>
  <si>
    <t>Porcentaje de estudiantes del sector oficial evaluados con nivel B1 o superior de inglés del Marco Común Europeo</t>
  </si>
  <si>
    <t>Porcentaje de estudiantes con jornada única</t>
  </si>
  <si>
    <t>Porcentaje de estudiantes en establecimientos focalizados por el Programa Todos a Aprender con niveles Satisfactorio y Avanzado en pruebas de lenguaje SABER 5</t>
  </si>
  <si>
    <t>Porcentaje de estudiantes en establecimientos focalizados por el Programa Todos a Aprender en niveles Satisfactorio y Avanzado en pruebas de Matemáticas SABER 5</t>
  </si>
  <si>
    <t>Docentes por tutor en el programa Todos a Aprender</t>
  </si>
  <si>
    <t>Porcentaje de personas que ingresan a programas de licenciatura que están entre los puestos del 1 a 400 de la prueba SABER 11</t>
  </si>
  <si>
    <t>Porcentaje de docentes oficiales de educación preescolar,básica y media con formación de postgrado</t>
  </si>
  <si>
    <t>Docentes de inglés del sector oficial evaluados con nivel B2 o superior de acuerdo a los niveles del Marco Común Europeo de Referencia</t>
  </si>
  <si>
    <t>Docentes formados en inglés</t>
  </si>
  <si>
    <t>Porcentaje de estudiantes del sector oficial en niveles satisfactorio y avanzado pruebas SABER 5 (matemáticas) - Eje Cafetero</t>
  </si>
  <si>
    <t>Tutores vinculados al Programa Todos a Aprender 2.0</t>
  </si>
  <si>
    <t>Índice sintético de calidad educativa Primaria</t>
  </si>
  <si>
    <t>Número de colegios oficiales en las categorias A+, A y B en las pruebas SABER 11</t>
  </si>
  <si>
    <t>Número de estudiantes en el sector oficial con jornada única</t>
  </si>
  <si>
    <t>Tasa de cobertura de alta calidad en educación superior</t>
  </si>
  <si>
    <t>Porcentaje de matrícula oficial con conexión a internet</t>
  </si>
  <si>
    <t>Estudiantes beneficiados con créditos condonables para programas profesionales de licenciatura en Instituciones Educativas Certificadas con alta calidad</t>
  </si>
  <si>
    <t>Porcentaje de programas de licenciatura con acreditación de alta calidad</t>
  </si>
  <si>
    <t>Porcentaje de estudiantes de licenciatura en nivel de desempeño alto (nivel 3) en pruebas de razonamiento cuantitativo de SABER PRO</t>
  </si>
  <si>
    <t>Porcentaje de estudiantes de licenciatura en nivel de desempeño alto (nivel 3) en pruebas de lectura crítica de SABER PRO</t>
  </si>
  <si>
    <t>Porcentaje de cupos de educación técnica y tecnológica con acreditación de alta calidad en programas e IES con acreditacion de alta calidad</t>
  </si>
  <si>
    <t>Nuevos cupos en educación técnica y tecnológica</t>
  </si>
  <si>
    <t>Tasa de deserción anual en educación técnica y tecnológica</t>
  </si>
  <si>
    <t>Tasa de Cobertura en Educación Superior</t>
  </si>
  <si>
    <t>Nuevos Cupos en Educación Superior</t>
  </si>
  <si>
    <t>Departamentos con tasa de Cobertura en Educación Superior por encima del 20%</t>
  </si>
  <si>
    <t>Tasa de deserción en educación superior</t>
  </si>
  <si>
    <t xml:space="preserve">Estudiantes beneficiados con nuevos créditos condonables </t>
  </si>
  <si>
    <t>Porcentaje de créditos nuevos de pregrado aprobados en Programas o Instituciones Educativas Certificadas con alta calidad</t>
  </si>
  <si>
    <t>Docentes de Educación Superior con formación Doctoral</t>
  </si>
  <si>
    <t>Ganancias en puestos de universidades colombianas en ranking internacional</t>
  </si>
  <si>
    <t>Graduados en educación técnica y tecnológica en la región del eje cafetero</t>
  </si>
  <si>
    <t>Nuevos cupos en educación técnica y tecnológica - Eje Cafetero</t>
  </si>
  <si>
    <t>Profesionales graduados de maestría y doctorado en la región - Eje Cafetero</t>
  </si>
  <si>
    <t>Estudiantes beneficiarios del Programa Ser Pilo Paga</t>
  </si>
  <si>
    <t>Tasa de deserción del Programa Ser Pilo Paga</t>
  </si>
  <si>
    <t xml:space="preserve">Cupos en educación superior para la población del Pueblo Rrom </t>
  </si>
  <si>
    <t>Entidades territoriales (con presencia de poblacion rrom en sus EE) que cuentan con lineamientos de educación intercultural desde los usos y costumbres del Pueblo Rrom desde la primera infancia hasta la educación superior, diseñados y socializados</t>
  </si>
  <si>
    <t>Programa de formación para adultos del Pueblo Rrom en el marco de usos y costumbres diseñado e implementado</t>
  </si>
  <si>
    <t>Estudiantes indígenas beneficiarios de créditos del Fondo Alvaro Ulcue Chocue y otros programas de financiación</t>
  </si>
  <si>
    <t>Talento humano cualificado para la atención integral a la primera infancia (MinEducación)</t>
  </si>
  <si>
    <t>Porcentaje de niños y niñas atendidos en educación inicial en el marco de la atención integral que cuentan con las 8 atenciones priorizadas</t>
  </si>
  <si>
    <t>Porcentaje de mujeres gestantes inscritas en las modalidades de educación inicial en el marco de la atención integral que cuentan con las 3 atenciones priorizadas</t>
  </si>
  <si>
    <t>Porcentaje de talento humano cualificado vinculado a los servicios educación inicial en el marco de la atención integral.</t>
  </si>
  <si>
    <t xml:space="preserve"> Secretarias de Educación certificadas beneficiadas con acciones del programa de educación para la sexualidad y construcción de ciudadanía.</t>
  </si>
  <si>
    <t xml:space="preserve">Porcentaje de Instituciones Educativas que cuentan con el PESCC en los municipios en donde se implementa la estrategia nacional de prevención de embarazo en adolescentes. </t>
  </si>
  <si>
    <t>Municipios focalizados por la estrategia nacional de prevención de embarazo en adolescentes que implementan Jornada Unica</t>
  </si>
  <si>
    <t>Porcentaje de avance en la expedición de la Directiva Ministerial de Prestación del Servicio educativo, para garantizar la permanencia de adolescentes y jovenes en situación de embarazo adolescente.</t>
  </si>
  <si>
    <t>Porcentaje de población víctima atendida de 5 a 17 años que asisten al sistema educativo</t>
  </si>
  <si>
    <t>Avance 
2015</t>
  </si>
  <si>
    <t>Avance 
2016</t>
  </si>
  <si>
    <t>Avance 
2017</t>
  </si>
  <si>
    <t>Nombre del Indicador</t>
  </si>
  <si>
    <t>No reporta dato 2015 ni 2016</t>
  </si>
  <si>
    <t>Observación</t>
  </si>
  <si>
    <t>No Cumplirá la meta ya que 100,000 eran del SENA</t>
  </si>
  <si>
    <t>No será posible cumplir la meta de los 33 departamentos considerando que aquellos que corresponden a los antiguos territorios nacionales no cuentan con la oferta en educación superior.</t>
  </si>
  <si>
    <t>META 2015</t>
  </si>
  <si>
    <t>META 2016</t>
  </si>
  <si>
    <t>META 2017</t>
  </si>
  <si>
    <t xml:space="preserve">Dado que no se han aprobado los ajustes ante DNP de este indicador y aún con las 460 becas de más no se va a cumplir la meta final </t>
  </si>
  <si>
    <t>En cálculo de dato preliminar - Grupo de Información OAPF</t>
  </si>
  <si>
    <t>* Falta esperar dato de 2017, porque la tendencia esta bajando</t>
  </si>
  <si>
    <t>Según Grupo de información: El dato de este indicadorpara 2016, estará disponible de forma preliminar el 16 de febrero de 2018</t>
  </si>
  <si>
    <t>*Pendiente ajustar series de acuerdo a la directriz del DNP (incluir aulas mejoradas)</t>
  </si>
  <si>
    <t>* Acumulado va en 4.635. DNP no aprobó reducir la meta.</t>
  </si>
  <si>
    <t>* El área informa: Se remitió al MSPS la base de datos total del SSNN para realizar el reporte actulizado de las atenciones correspondientes a las mujeres gestantes.
Estamos a la espera de la información que entragará el ICBF correspondiente a la vigencia 2017 para realizar el cálculo del indicador.</t>
  </si>
  <si>
    <t>* El área informa: Las cifras de cualificación reportadas por cada una de las entidades son las siguientes: ICBF = 15.580, MEN = 3.552, Mincultura=459 y Coldeportes=5.240 para un total de 24.831. Las entidades estan en proceso de reporte de la información para cargue al SIPI.</t>
  </si>
  <si>
    <t>SUPERIOR</t>
  </si>
  <si>
    <t xml:space="preserve">DESPACHO </t>
  </si>
  <si>
    <t>BASICA</t>
  </si>
  <si>
    <t>Estado</t>
  </si>
  <si>
    <t>% CUMPL VS META_2015</t>
  </si>
  <si>
    <t>VIGENCIA 2015</t>
  </si>
  <si>
    <t>% CUMPL VS META_2016</t>
  </si>
  <si>
    <t>VIGENCIA 2016</t>
  </si>
  <si>
    <t>% CUMPL VS META_2017</t>
  </si>
  <si>
    <t>VIGENCIA 2017</t>
  </si>
  <si>
    <t>No reporta dato 2016; se encuentra en estudio de viabilidad de cambio de metodología</t>
  </si>
  <si>
    <t>Hector Flechas</t>
  </si>
  <si>
    <t>Carlos Carreño</t>
  </si>
  <si>
    <t>Pilar Moreno</t>
  </si>
  <si>
    <t>En riesgo de incumplimiento</t>
  </si>
  <si>
    <t>MES ÚLTIMO REPORTE</t>
  </si>
  <si>
    <t>Diciembre</t>
  </si>
  <si>
    <t>Noviembre</t>
  </si>
  <si>
    <t xml:space="preserve">Los resultados que se dieron al cierre muestran un comportanmiento bajo en comparación al año pasado. </t>
  </si>
  <si>
    <t>Diciembre (preliminar)</t>
  </si>
  <si>
    <t>A pesar de haber ajustado la meta hacía abajo, la meta no va poder cumplirse en 2018 en atención a las visicitudes de financiación y retraso de las obras para la jornada única</t>
  </si>
  <si>
    <t>Junio</t>
  </si>
  <si>
    <t xml:space="preserve">El área informa: El compromisos tienen una alta probabilidad de ser cumplidos, no obstante está sujeto a los acuerdos que se concerten con los Representantes de las Kumpañy. </t>
  </si>
  <si>
    <t>ÁREA</t>
  </si>
  <si>
    <t>Dirección de Cobertura y Equidad EPBM</t>
  </si>
  <si>
    <t>Subdirección de Acceso</t>
  </si>
  <si>
    <t>Dirección de Fortalecimiento a la Gestión Territorial</t>
  </si>
  <si>
    <t>Subdirección de Permanencia</t>
  </si>
  <si>
    <t>Dirección de Calidad EPBM</t>
  </si>
  <si>
    <t>Dirección de Calidad EPBM - Subdirección de Fomento de Competencias</t>
  </si>
  <si>
    <t>Dirección de Calidad EPBM - Jornada Única</t>
  </si>
  <si>
    <t>Dirección de Calidad EPBM -  PTA</t>
  </si>
  <si>
    <t>Dirección de Fomento ES</t>
  </si>
  <si>
    <t>Oficina de Tecnología y sistemas de información</t>
  </si>
  <si>
    <t>Dirección de Fomento ES - Vicepresidencia Crédito - ICETEX</t>
  </si>
  <si>
    <t>Dirección de Calidad ES</t>
  </si>
  <si>
    <t>Vicepresidencia Crédito - ICETEX - Dirección de Fomento ES</t>
  </si>
  <si>
    <t>Asesora del Viceministerio de Educación Preesclar Básica y Media de grupos étnicos</t>
  </si>
  <si>
    <t>Dirección de Primera Infancia</t>
  </si>
  <si>
    <t>Subdirección de Fomento de Competencias</t>
  </si>
  <si>
    <t>META_ACUM2016</t>
  </si>
  <si>
    <t>META_ACUM 2017</t>
  </si>
  <si>
    <t>Avance_Acum2016</t>
  </si>
  <si>
    <t>Avance_Acum2017</t>
  </si>
  <si>
    <t>META 2018</t>
  </si>
  <si>
    <t>META_ACUM 2018</t>
  </si>
  <si>
    <t>REZAGO</t>
  </si>
  <si>
    <t>PENDIENTE</t>
  </si>
  <si>
    <t>PENDIENTE 2016 Y 2017</t>
  </si>
  <si>
    <t>A pesar de haber ajustado la meta hacía abajo, la meta no va poder cumplirse en 2018 en atención a las vicisitudes de financiación y retraso de las obras para la jornada única</t>
  </si>
  <si>
    <t>Nunca se ha cumplido la meta conforme a lo establecido por cada vigencia. Es uno de los indicadores que definitivamente no se están cumpliendo.</t>
  </si>
  <si>
    <t>Etiquetas de fila</t>
  </si>
  <si>
    <t>Total general</t>
  </si>
  <si>
    <t>Cuenta de Nombre del Indicador</t>
  </si>
  <si>
    <t>% CUMP VS META ACUMULADA</t>
  </si>
  <si>
    <t>SIN INFORMACIÓN CIERRE 2017</t>
  </si>
  <si>
    <t>Suma de % CUMP VS META ACUMULADA2</t>
  </si>
  <si>
    <t>Tasa de cobertura bruta en educación media en la zona rural</t>
  </si>
  <si>
    <t>Porcentaje de docentes oficiales de educación preescolar, básica y media con formación de postgrado</t>
  </si>
  <si>
    <t>Porcentaje de población evaluada en el sector oficial en las pruebas SABER 5 que sube de nivel de logro, respecto a la línea base</t>
  </si>
  <si>
    <t>Porcentaje de estudiantes que mejora en el nivel de desempeño de las pruebas SABER PRO</t>
  </si>
  <si>
    <t>Sistema Educativo Indígena Propio como política educativa para los pueblos indígenas formulado e implementado</t>
  </si>
  <si>
    <t>Capacidad instalada en los pueblos indígenas para que sean certificados, implementando el decreto 1953 de 2014</t>
  </si>
  <si>
    <t>repetido</t>
  </si>
  <si>
    <t>NO ES PND</t>
  </si>
  <si>
    <t>Tiene problema de definición de la metodología de cálculo</t>
  </si>
  <si>
    <t>Básica</t>
  </si>
  <si>
    <t>superior</t>
  </si>
  <si>
    <t>Cumple</t>
  </si>
  <si>
    <t>No Cumple</t>
  </si>
  <si>
    <t>Sin_Dato2017</t>
  </si>
  <si>
    <t>Total por Despacho</t>
  </si>
  <si>
    <t>Total x Estado</t>
  </si>
  <si>
    <t>UNIDAD DE MEDIDA</t>
  </si>
  <si>
    <t>TIPO DE ACUMULACIÓN</t>
  </si>
  <si>
    <t>TIPO INDICADOR</t>
  </si>
  <si>
    <t>Producto</t>
  </si>
  <si>
    <t>PERIODICIDAD</t>
  </si>
  <si>
    <t>Anual</t>
  </si>
  <si>
    <t>Trimestral</t>
  </si>
  <si>
    <t>Meta Intermedia</t>
  </si>
  <si>
    <t>Semestral</t>
  </si>
  <si>
    <t>Estudiantes beneficiados con nuevos créditos condonables</t>
  </si>
  <si>
    <t>Stock</t>
  </si>
  <si>
    <t>Porcentaje</t>
  </si>
  <si>
    <t>Capacidad</t>
  </si>
  <si>
    <t>Resultado</t>
  </si>
  <si>
    <t>Tasa</t>
  </si>
  <si>
    <t>Reducción</t>
  </si>
  <si>
    <t>Acumulado</t>
  </si>
  <si>
    <t>Sedes rurales</t>
  </si>
  <si>
    <t>Flujo</t>
  </si>
  <si>
    <t>Gestión</t>
  </si>
  <si>
    <t>Jovenes y adultos</t>
  </si>
  <si>
    <t>Estudiantes</t>
  </si>
  <si>
    <t>Sedes educativas</t>
  </si>
  <si>
    <t>Personas</t>
  </si>
  <si>
    <t>Aulas</t>
  </si>
  <si>
    <t>Razon</t>
  </si>
  <si>
    <t>Docentes</t>
  </si>
  <si>
    <t>Bimestral</t>
  </si>
  <si>
    <t>Tutores</t>
  </si>
  <si>
    <t>Índice</t>
  </si>
  <si>
    <t>Colegios oficiales</t>
  </si>
  <si>
    <t>Mensual</t>
  </si>
  <si>
    <t>Cupos</t>
  </si>
  <si>
    <t>Departamentos</t>
  </si>
  <si>
    <t>Puestos</t>
  </si>
  <si>
    <t>Graduados</t>
  </si>
  <si>
    <t>Estudiantes indígenas</t>
  </si>
  <si>
    <t xml:space="preserve">Secretarias de Educación </t>
  </si>
  <si>
    <t>Municipios</t>
  </si>
  <si>
    <t>NO</t>
  </si>
  <si>
    <t>SI</t>
  </si>
  <si>
    <t>TABLERO PRES.</t>
  </si>
  <si>
    <t>OBSERVACIÓN</t>
  </si>
  <si>
    <t>LB</t>
  </si>
  <si>
    <t>Se aprobó modificación de metas mediante oficio 20173600706191 del 23/11/2017.
Estado: se revisa que las metas están aplicadas y verificadas en SINERGIA. OK</t>
  </si>
  <si>
    <t>El MEN mediante oficio 2017-EE-154579 solicitó ajustes de metas así: 2015: 77,1%; 2016: 77,5%; 2017:81,9% y 2018: 80%. Mediante oficio 20173600747331 del 18/12/2017, DNP informa que no es viable ajustar la solicitud toda vez que las razones que originan la solicitud de cambio eran conocidas por el MEN cuando se formularon las metas; adicionalmente por ser meta trazadora del CONPES-ODS no debe cambiarse.
Estado actual: metas iniciales vigentes en SINERGIA.</t>
  </si>
  <si>
    <t>El MEN mediante oficio 2017-EE-108574 del 29/06/17, solicitó ajuste a las metas 2017, 2018 y MC así: 2017: 4,44% a 5,25%; 2018: 3,8% a 5,17% y MC: 3,8% a 5,17%. Mediante oficio de DNP 20173600747271 del 18/12/17 se viabiliza y autoriza ajuste en consistencia con la justificación enviada por el MEN y alineaciòn con las metas aprobadas por el CONPES-ODS que incluyen este indicador. 
Estado: ajustes aplicados y revisados en SINERGIA. OK</t>
  </si>
  <si>
    <t>El MEN mediante oficio 2017-EE-108574 del 29/06/17  solicitó ajustes en las metas 2017 y 2018 y MC así: 2017: 35.000 y 2018: 30.000, ajustándose los acumulados: 2015: 121.397; 2016: 292.218; 2017: de 478.487 a 327.218 y 2018: 676.000 a 357.218; MC: De 676.000 a 357.218. Según oficio de DNP 20173600747271 del 18/12/17 se viabilizó y autorizó modificación para las vigencias 2017 y 2018 en virtud a la reducción del ppto, pero no se permitió cambio de 2015 y 2016 por ser metas cerradas. 
Estado: Se revisó coherencia y ajustes aplicados en SINERGIA.
Nota: MEN requiere ajuste en los reportes de avance así: 2015:71.577 y 2016: 156.736, toda vez que en SINERGIA no se presenta en forma acumulada.</t>
  </si>
  <si>
    <t>El MEN solicitó el ajuste a la LB de 71,7% a 71,47% y de la MC de 86,31% a 75,67%, lo cual fue aprobado por DNP mediante oficio No. 20153600472231 del 10/08/2015.
Estado actual: No se identifican ajustes en SINERGIA, ni requerimientos adicionales por parte de DNP para este ajuste, pero se evidencia que no hay datos disponibles en metas anualizadas.</t>
  </si>
  <si>
    <t>El MEN solicitó el ajuste a la LB de 73% a 60,74% y de la MC de 84,33% a 71,13%, lo cual fue aprobado por DNP mediante oficio No. 20153600472231 del 10/08/2015.
Estado actual: No se identifican ajustes en SINERGIA, ni requerimientos adicionales por parte de DNP para este ajuste.</t>
  </si>
  <si>
    <t>El MEN solicitó ajuste de MC pasando de 135.964 a 113.658. Mediante oficio 20153600472231 del 10/08/15, DNP aprobó los ajustes de MC.
Estado actual: se revisó en SINERGÍA y continúa sin ajustar.</t>
  </si>
  <si>
    <t xml:space="preserve">Mediante oficio  20153600472231 del 10/08/15 DNP viabiliza y aprueba los ajustes solicitados de LB 73,81% a 75,72% y meta de 86,64% a 78,32%.
Estado actual: fue aplicado el ajuste en la MC pero no en la línea base. </t>
  </si>
  <si>
    <t>El MEN solicitó ajuste de LB pasando de 404.056 a 362.740 y MC pasando de 481.979 a 366.740. Mediante oficio 20153600472231 del 10/08/15, DNP aprobó ajustes, pero solo actualizó en SINERGIA la MC quedando pendiente la linea de base.
Estado actual: se revisó en SINERGÍA y continúa igual.</t>
  </si>
  <si>
    <t>Mediante oficio 20153600472231 del 10/08/15 no se considera viable los ajustes solicitados  de LB y Meta</t>
  </si>
  <si>
    <t xml:space="preserve">El MEN solicitó ajustes en la LB de 72,86% a 72,76% y en la MC de 83,33% a 77,09%. Mediante oficio 20153600472231 del 10/08/15 el DNP aprueba ajustes.
Estado actual: Se identifica ajuste en SINERGIA de la MC pero no en la LB. </t>
  </si>
  <si>
    <t>El MEN solicitó ajustar MC: De 582.001 a 500.798. Mediante oficio 20153600472231 del 10/08/15 DNP NO APRUEBA modificación en virtud a que la justificación tiene datos diferentes de LB. El MEN mediante oficio 2015-EE-124764 del 23/12/15 dio respuesta y amplía la solicitud, pidiendo además ajuste en LB de 492.798 a 432.372 (cifra oficial cierre 2014) y solicita ajustar META 2018: De 582.001 a 500.798 y MC: 582.001 a 500.798.
Estado actual: No se encuentra respuesta al respecto. En SINERGIA continúan apareciendo metas iniciales.</t>
  </si>
  <si>
    <t>El MEN solicitó ajustes a LB de 659.000 a 690.512 (cifra Dic2014) y MC de 457.081 a 127.104. Mediante oficio 20153600472231 del 10/08/15 se aprueba ajuste en LB pero no en meta en razón a que el valor propuesto hace referencia a personas que pasarían por el programa. El MEN mediante oficio 2015-EE-124764 de 23/12/15 dio respuesta y justifico la solclitud, solicitando entonces ajustar metas así: 2015:669.101; 2016: 639.206; 2017:603.443 y 2018:553.408; MC: 553.408. 
Estado actual: No se encuentra respuesta al respecto. en SINERGIA no se encuentran aplicados ajustes ni encuentran datos de metas anuales.</t>
  </si>
  <si>
    <t>El MEN mediante oficio 2017-ee-154579 solicitó ajustar la metodología para incluir aulas habilitadas y contratadas. Mediante oficio 20173600747331 del 18/12/17 se viabilizó la inclusión de aulas habilitadas, pero no es viable incluir contratadas en virtud a que el indicador es de producto y no de resultado y no es posible contar productos no terminados que correspondan a etapas de gestión.  
Estado Actual: en SINERGIA hay consistencia con la información del MEN.
En reunión del 08/02/18 DNP solicita al MEN ajustar esta serie de años anteriores.</t>
  </si>
  <si>
    <t>El MEN solicitó el ajuste de la LB: De 61,98% a 57,48% y de MC de 71,07% a 57,79%. Mediante oficio 20155320093463 del 04/08/15 DNP responde que no se aprueba el ajuste porque la meta no es consistente con el aumento de 10pp en meta nacional y 5pp en meta región de la tasa de cobertura bruta en media y no se justifica claramente el ajuste. Con oficio 2015-EE-124764 del 23 de diciembre 2015, el MEN dio respuesta y justifico la solclitud de ajuste a este indicador.
Estado actual: No se identificó respuesta oficial sobre este ajuste; en SINERGIA continúa como las metas iniciales.</t>
  </si>
  <si>
    <t>El MEN mediante oficio 2017-EE-154579 solicitó ajustes pasando de 2017:20% a 13% y 2018: 30% a 20% ; DNP mediante oficio 20173600747331 del 18/12/2017 DNP viabilizó y autorizó modificación de metas 2017 y 2018 pasando de 20% a 13% en 2017 y de 30% a 20% en 2018.
Estado: se validó ajuste aplicado en SINERGIA- OK</t>
  </si>
  <si>
    <t xml:space="preserve">Mediante correo solicitud de ajuste remitido a Sergio valdivieso, se solicitó cambiar los datos correspondientes al avance 2016 pasando de 25,85 (preliminar 2016) a 26,11 (cierre definitivo).
Estado actual: PENDIENTE POR AJUSTAR. </t>
  </si>
  <si>
    <t>En revisión de los registros en SINERGIA se identificó que existe una inconsistencia en la meta 2015, la cual corresponde a 31,20% y no 32%, como aparece reportada. 
Estado actual: PENDIENTE POR AJUSTAR</t>
  </si>
  <si>
    <t>Mediante oficio 2015-EE070501 del 07/06/2015 el MEN solicita el ajuste a la LB, pasando de 4.293 a 403. Mediante oficio 20153600472231 del 10/08/2015 DNP responde que está en desacuerdo con la solicitud, en virtud a que el tipo de acumulación no es comparable con la meta cuatrenio. 
En oficio 2015-EE124764 del 23/12/15 el MEN hace observaciones a la respuesta de DNP, reiterando la solicitud de ajuste de LB de 4.293 a 5.703 justificado en que es la cifra de cierre 2.014, solicitud que fue reiterada por 3ra vez en oficio del 23/08/2016 (NO CORDIS) y donde además se remite solicitud de ajuste de la serie, del cual no se ha recibido respuesta oficial.
Estado actual: La metas no se han ajustado en SINERGIA, siguien apareciendo así: 2015: 1.000 Avance: 1.263 ; 2016: 2.335 Avance 3.713; 2017: 2.367 y, 2018: 2.298. Según el tipo de acumulación, las metas deben ser: 2016: 3.335; 2017: 5.702 y 2018: 8000; MC: 8.000. Además la Linea de Base tampoco está ajustada. Esta ultima debe quedar en 5.703 y está en 4.293.
Nota: En reunión del 08/02 DNP solicita revisar y ajustar la serie. Se solicita acompañamiento de DNP para trabajar con el área el ajuste del tipo de acumulación.</t>
  </si>
  <si>
    <t>Mediante oficio 20153600472231 del 10/08/2015, DNP aprueba solicitud de ajuste de LB de 29% a 9,4% y MC de 32,5% a 12%.
Estado actual: Pese a que en SINERGIA se realizaron ajustes, quedó la LB registrada en 94; respecto a la MC el dato no corresponde a la solicitud inicial que es de 11,96 y no 12 como aparece el registro.</t>
  </si>
  <si>
    <t xml:space="preserve">Mediante correo solicitud de ajuste remitido a Sergio valdivieso, se solicitó cambiar los datos correspondientes al avance 2016 pasando de 4.230 (preliminar 2016) a 4.188 (cierre definitivo).
Estado actual: PENDIENTE POR AJUSTAR. </t>
  </si>
  <si>
    <t>El MEN mediante oficio 2017-EE-154579 solicitó ajustes a metas 2017: De 1.527.580 a 1.000.000 y Meta 2018: De 2.291.371 a 1.500.000; mediante oficio 20173600747331 del 18/12/2017 DNP viabilizó y autorizó modificación de metas 2017, 2018 y MC. Adicionalmente, mediante oficio 2016-EE-118976 del 09/06/2016, el MEN solicitó ajustes a los registros de avance de 2015: de 316.895 a 316.917 y para el indicador de porcentaje: de 4,6% a 4,3%. 
Estado actual: se validó ajuste de metas aplicado en SINERGIA; PENDIENTE POR AJUSTAR AVANCES.</t>
  </si>
  <si>
    <t>El MEN mediante oficio 2017-EE-108574 del 29/06/17 solicitó ajuste de LB de 14,6% a 14,9% y avance 2016 de 16,5% a 16,9%. Mediante oficio 20173600747271 del 18/12/17 se viabiliza y autoriza modificación en virtud a modificaciones derivadas de procesos de auditoría y validación de daqtos 2014 y su efectos sobre los reportes de 2015 y 2016.
Nota: en oficio 20163600716951 del 14/09/16 DNP consideró improcedente la misma solicitud de ajuste.
Estado actual: se revisa en SINERGIA ajuste aplicado OK</t>
  </si>
  <si>
    <t xml:space="preserve">Estado actual: DNP esta revisando tipo de acumulación del indicador  para hacer efectivo el  avance 2017. </t>
  </si>
  <si>
    <t>El MEN mediante oficio 2017-EE-107584 del 29/06/17 solicitó ajustes a avances 2015: De 15,4% a 21,6%  y 2016: De 18,62% a 26,1% por variación en la formula de cálculo. Mediante oficio 20173600747271 del 18/12 el DNP viabiliza y aprueba modificación en virtud a que la fórmula corresponde a No. programas acreditados/ universo programas acreditables y no con programas con registro calificado vigente; DNP solicita ajuste en ficha técnica.
Estado actual: En reunión con DNP del 08/02 esta Entidad solicita ajuste de la serie</t>
  </si>
  <si>
    <t xml:space="preserve">Mediante oficio 20173600747271 del 18/12 se viabiliza y aprueba el cambio del avance 2015 pasando de 20,1% A 4,7% explicado en las revisiones a las cifras consolidadas del ICFES. dicho cambio fue solicitado por el MEN mediante oficio 2017-EE-107584 del 29/06/17
Estado actual: DNP solicitó el envío de ficha técnica y revisión de meta y serie. </t>
  </si>
  <si>
    <t xml:space="preserve">Mediante oficio 20173600747271 del 18/12 se viabiliza y aprueba el cambio del avance 2015 pasando de 27,1% a 17%, explicado en las revisiones a las cifras consolidadas del ICFES. dicho cambio fue solicitado por el MEN mediante oficio 2017-EE-107584 del 29/06/17.
Estado actual: DNP solicitó el envío de ficha técnica y revisión de meta y serie. </t>
  </si>
  <si>
    <t xml:space="preserve">El MEN solicita mediante oficio 2017-ee-108574 de 29/06/17 ajuste avance 2016; mediante oficio 20173600747271 del 18/12/17 DNP viabiliza y aprueba el ajuste al avance 2016: De 11,3% a 9,1%, explicado por modificaciones derivadas de procesos de auditoría y validación de datos reportados en 2014. 
Estado actual: DNP esta revisando tipo de acumulación del indicador  para hacer efectivo el cambio aprobado en avance 2016. </t>
  </si>
  <si>
    <t xml:space="preserve">El MEN mediante oficio 2017-ee-108574 del 29/06/17 solicitó ajuste a la LB De 168.492 a 168.664 y avance 2015 de 27.165 a 6.230. Mediante oficio 20173600747271 del 18/12/17 DNP viabiliza y autoriza el ajuste, en virtud a las modificaciones derivadas de los procesos de auditoría y validación de datos en 2014 y del avance por cuanto al ajuste de la LB; así mismo se  emite concepto favorable para ajuste en el tablero de Presidente.
Estado: Se revisan ajustes aplicados en SINERGIA. OK </t>
  </si>
  <si>
    <t>El MEN mediante oficio 2017-EE-108574 del 29/06/17 solicita ajustes a LB de 46,1% a 47,8% y avance 2016 de 51,6% a 51,5%. Mediante oficio 20173600747271 del 18/12/17 DNP viabiliza y autoriza el ajuste.
Estado: revisados ajustes aplicados en SINERGIA. OK</t>
  </si>
  <si>
    <t>El MEN mediante oficio 2017-ee-108574 del 29/06/17 solicitó ajustes a LB de 545.444 a 546.631 y avances 2015: de 155.365 a 72.898 y 2016: de 258.144 a 173.782. Mediante oficio 20173600747271 del 18/12/17 se viabiliza y autoriza el ajuste.
Estado: verificación de ajustes aplicados en SINERGIA. OK</t>
  </si>
  <si>
    <t>El MEN mediante oficio 2017-EE-108574 del 29/06/17 solicita ajuste avances 2016: De 27 a 25; mediante oficio 20173600747271 del 18/12 DNP viabiliza y aprueba el ajuste teniendo en cuenta que el dato correspondía a un valor preliminar; la reducción obedeció a una caida de la matrícula de INFOTEP. 
Estado Actual: En reunión con DNP del 08/02 esta Entidad indica que esta revisando tipo de acumulación del indicador  para hacer efectivo el cambio aprobado en avance 2016 y requiere al MEN ajustar la serie.</t>
  </si>
  <si>
    <t>El MEN mediante oficio 2017-EE-108574 del 29/06/17 solicitó ajustar la LB pasando de 10,3% a 10,1%. Mediante oficio 20173600747274 del 18/12/2017 DNP viabiliza y autoriza el ajuste explicado en modificaciones derivadas de procesos de auditoría y validación de los datos reportados en 2014.
Estado: se revisa aplicación y ajuste en SINERGÍA. OK</t>
  </si>
  <si>
    <t>Mediante oficio 2015-IE-124764 del 23/12/15 el MEN solicitó  ajustes a la LB de 23.065 a 26.889, justificado en el cambio de nombre del indicador que amplió su alcance y que fuera aprobado en agosto 2015.sobre el particular, no se encontró en la carpeta copia del oficio de aprobación.
Estado Actual: en SINERGÍA se realizaron los cambios de metas 2015: en 18.347 y 2016: en 34.287; las metas 2017 y 2018 se conservan como inicialmente estaban planteadas. No se observan cambios a LB. 
En reunión del 08/02 DNP indica que debe revisar y ajustarse la serie, toda vez que la serie no corresponde al tipo de acumulación (acumulado).
El dato de avance 2015 no corresponde, en SINERGIA aparece 13.498 y en realidad en el TP es de 20.313. XA AJUSTAR
Nota: La Dirección de Fomento debe definir con Icetex, la metodología utilizada para el cálculo y validar avances 2015</t>
  </si>
  <si>
    <t>Mediante oficio 2017-EE-108574 del 29/06/2017 el MEN solicita ajuste de la LB a 8.893 y avances 2015: 9.477 y 2016: 10.843, que fueron viabilizados y aprobados mediante oficio 20173600747271 del 18/12/17. 
No obstante, DNP ha solicitado en reuniòn del 08/02, revisar y solicitar el ajuste a la serie toda vez que es indicador de capacidad y en este sentido, existe inconsistencia respecto a la línea base, que debe ser ajustada por la DF.
Estado Actual: Ajustes aplicados en SINERGIA; pendiente revisar y ajustar SERIE.</t>
  </si>
  <si>
    <t>Mediante oficio 20155320093463 del 04/08/15 DNP aprueba ajuste de de metas anuales (no encontre oficio del MEN solicitando). 
Estado actual: Se identifican las siguientes diferencias: Ficha y Excel: 0;4;8,15;25;25,  Sinergia: 0;4;12;20;25;25
Nota.  Solicitar a DNP ajustar de acuerdo con la aprobación del DNP. solicitar copia del oficiio de solicitud del MEN</t>
  </si>
  <si>
    <t>Con oficios No. 20155320093463 y No. 20153600472231, el DNP aprobó el cambio de la Linea de base, sin embargo no se ve reflejado en SINERGIA.
DNP aprobo cambio de LB en oficio de agosto de 2015 a 82.723, que aun no aparece en el aplicativo</t>
  </si>
  <si>
    <t>El MEN solicitó ajustar LB de 13.429 a 14.623 (dato oficial cierre 2014) y MC: De 72.889 a 7.000. Mediante oficios No. 20155320093463 y No. 20153600472231 DNP aprobó los ajustes, sin embargo solo se adelantó para la MC, y NO para la LB. 
Estado Actual: se revisa en SINERGIA y continúa igual. En reunión con DNP del 08/02 esta Entidad informa que hay un problema con la serie de la LB que el MEN debe revisar y ajustar.</t>
  </si>
  <si>
    <t>Mediante oficios No. 20155320093463 y No. 20153600472231 de agosto/2015, DNP aprobó ajuste de LB DE 2.709 a 8.372 y MC de 4.004 a 2.000.
Estado actual: No se han realizado ajustes apllicados en SINERGIA; ademas la ficha y el Excel no muestran los valores coherentes por año en relación con el cambio solicitado. Datos de serie no concordantes</t>
  </si>
  <si>
    <t>Mediante oficio 20173600747271 del 18/12/17 DNP aprobó los ajustes solicitados por el MEN en oficio 2017-EE-107584 del 29/06/17;  relacionados con descripción, metodología y días de rezago en la ficha técnica del indicador.
Estado actual: ajustado OK</t>
  </si>
  <si>
    <t>Nota: Confirmar con DNP porqué la serie en SINERGIA está incompleta.</t>
  </si>
  <si>
    <t>El MEN, mediante oficio 2017-EE-154579 solicitó ajustes en las metas así: 2015: 1.000 a 2.548; 2016: 15.000 a 1.000; 2017: 15.000 a 1.100 y 2018: 15.000 a 2.400; no obstante mediante oficio 20173600747331 del 18/12/2017 el DNP informa que no es viable considerando que el cambio representa modificación de metodologìa con afectaciones en metas compartidas con otros sectores, que debieron ser concertadas con la CIPI y la solicitud fue presentada en extemporaneidad.
Estado: Pese a la observación anterior, en SINERGIA se identifican metas en 0.</t>
  </si>
  <si>
    <t>Las metas proyectadas para este indicador eran: LB: 94; 2015:12; 2016: 95; 2017:95; 2018:95; MC: 95. Sin embargo, en SINERGIA, la meta 2015 se presenta como 94. 
Estado actual: PENDIENTE POR AJUSTAR.
Nota OAPF-MEN: Se presentan inconsistencias en los resultados de este indicador, toda vez que los avances cuantitativos por debajo de la línea base representan avances negativos; en este sentido, se ha evidenciado que el tipo de acmulación deberá ajustarse a Flujo o acumulado para proceder a aprobar los avances cuantitativos obtenidos en cada vigencia o la línea base en 0. Se solicita acompañamiento de DNP para trabajar con el área el ajuste del tipo de acumulación.</t>
  </si>
  <si>
    <t>ANALISTA OAPF</t>
  </si>
  <si>
    <t>SIN DATO</t>
  </si>
  <si>
    <t>N/A</t>
  </si>
  <si>
    <t>31,20% 
eran 3.000 se solicitó cambio por 2.890</t>
  </si>
  <si>
    <r>
      <t xml:space="preserve">33%
</t>
    </r>
    <r>
      <rPr>
        <b/>
        <sz val="11"/>
        <rFont val="Calibri"/>
        <family val="2"/>
        <scheme val="minor"/>
      </rPr>
      <t>eran 4.666 se solicitó cambio por 4.220</t>
    </r>
  </si>
  <si>
    <t>38%
eran 17.000 se ajustó a 8.110</t>
  </si>
  <si>
    <t>38%
500</t>
  </si>
  <si>
    <t>38%
8.110</t>
  </si>
  <si>
    <t>36,6%
500</t>
  </si>
  <si>
    <t>33% eran 4.666 se solicitó cambio por 4.220</t>
  </si>
  <si>
    <t>36,60%
7610</t>
  </si>
  <si>
    <t>Avance 
2018</t>
  </si>
  <si>
    <t>Avance_Acum2018</t>
  </si>
  <si>
    <t>% CUMPL VS META_2018</t>
  </si>
  <si>
    <t>dato preliminar a marzo 2018</t>
  </si>
  <si>
    <t>dato a diciembre 2017- ya se cumplió la meta</t>
  </si>
  <si>
    <t>Preliminar Febrero</t>
  </si>
  <si>
    <t>dato a marzo</t>
  </si>
  <si>
    <t>dato a diciembre 2017</t>
  </si>
  <si>
    <t>N.D.</t>
  </si>
  <si>
    <t>42,93%
7.110</t>
  </si>
  <si>
    <t>DATO A NOVIEMBRE</t>
  </si>
  <si>
    <t>TECNOLOGÍA</t>
  </si>
  <si>
    <t>Superior</t>
  </si>
  <si>
    <t>Tecnología</t>
  </si>
  <si>
    <t>Total indicadores PND 2014-2018</t>
  </si>
  <si>
    <t>Total</t>
  </si>
  <si>
    <t>Con reporte oficial 2017</t>
  </si>
  <si>
    <t>Responsable Indicador</t>
  </si>
  <si>
    <t>Pendiente reporte 2017</t>
  </si>
  <si>
    <t>Seguimiento Tablero Presidente</t>
  </si>
  <si>
    <t>MINISTERIO DE EDUCACIÓN NACIONAL</t>
  </si>
  <si>
    <t>OFICINA ASESORA DE PLANEACIÓN Y CONTROL</t>
  </si>
  <si>
    <t>REPORTE INDICADORES- CIERRE 2017</t>
  </si>
  <si>
    <t>36,60%
7.610</t>
  </si>
  <si>
    <t>PLAN NACIONAL DE DESARROLLO "TODOS POR UN NUEVO PAÍS" 2014-2018</t>
  </si>
  <si>
    <t>Secretarias de Educación certificadas beneficiadas con acciones del programa de educación para la sexualidad y construcción de ciudadanía.</t>
  </si>
  <si>
    <t>CON DATO DE CIERRE</t>
  </si>
  <si>
    <t>NOMBRE DEL INDICADOR 
(A-Z)</t>
  </si>
  <si>
    <t>PENDIENTE DATO DE CIERRE</t>
  </si>
  <si>
    <t>PERIOD.</t>
  </si>
  <si>
    <t>TABL.</t>
  </si>
  <si>
    <t>META CUATRIENIO 2015-2018</t>
  </si>
  <si>
    <t>AVANCE 
2017</t>
  </si>
  <si>
    <t>AVANCE_ACUM. 2017</t>
  </si>
  <si>
    <t>UND.</t>
  </si>
  <si>
    <t>Fuente: MEN- OAPF, Grupo Proyectos- Reporte Sinergia</t>
  </si>
  <si>
    <t>Entidades territoriales (con presencia de poblacion rom en sus EE) que cuentan con lineamientos de educación intercultural desde los usos y costumbres del Pueblo Rrom desde la primera infancia hasta la educación superior, diseñados y socializados</t>
  </si>
  <si>
    <t>Porcentaje de niños y niñas en primera infancia que cuentan con atenciones priorizadas en el marco de la atención integral</t>
  </si>
  <si>
    <t>NOTA</t>
  </si>
  <si>
    <t>OFICIO 2: sigue igual; no se han ajustado avances 2016 y 2017</t>
  </si>
  <si>
    <t>FORMATO CARGUE MASIVO: NO APARECE EN SINERGIA; NO SE PUEDE EVIDENCIAR SI SE INCLUYÓ AVANCE</t>
  </si>
  <si>
    <t>2017 Aun no disponible</t>
  </si>
  <si>
    <t>2017 aún no disponible</t>
  </si>
  <si>
    <t>2017 Aún no disponible</t>
  </si>
  <si>
    <t>PARA SOLICITAR CAMBIO A FLUJO IGUAL QUE LA DE RAZONAMIENTO CUANTITATIVO</t>
  </si>
  <si>
    <t>meta cuatrienio inconsistente</t>
  </si>
  <si>
    <t>cumplimiento al corte</t>
  </si>
  <si>
    <t>Indicador</t>
  </si>
  <si>
    <t>Und.</t>
  </si>
  <si>
    <t>Tipo Acumulación</t>
  </si>
  <si>
    <t>DESPACHO</t>
  </si>
  <si>
    <t>Avance Acum2018</t>
  </si>
  <si>
    <t>Dependencia</t>
  </si>
  <si>
    <t>TABLERO DE CONTROL INDICADORES PLAN NACIONAL DE DESARROLLO "TODOS POR UN NUEVO PAÍS 2014-2018"</t>
  </si>
  <si>
    <t>Meta Cuatrienio</t>
  </si>
  <si>
    <t>Cumplimiento vs MC</t>
  </si>
  <si>
    <t>Dato a corte</t>
  </si>
  <si>
    <t>RESULTADO PROMEDIO DESPACHO BÁSICA</t>
  </si>
  <si>
    <t>RESULTADO PROMEDIO DESPACHO SUPERIOR</t>
  </si>
  <si>
    <t>RESULTADO PROMEDIO OFICINA TECNOLOGIA</t>
  </si>
  <si>
    <t>OFICINA ASESORA DE PLANEACIÓN Y FINANZAS</t>
  </si>
  <si>
    <t>CORTE SEGUIMIENTO</t>
  </si>
  <si>
    <t>meta cuatrienio y lb inconsistente; no hay datos de metas en sinergia</t>
  </si>
  <si>
    <t>PRESENTA ERROR ASOCIADO A TIPO DE ACUMULACIÓN; los reportes están bien, pero suman al final y no deben sumar</t>
  </si>
  <si>
    <t>CONVENCIONES</t>
  </si>
  <si>
    <t>Calificación</t>
  </si>
  <si>
    <t>Cumplimiento</t>
  </si>
  <si>
    <t>Mayor que 90%</t>
  </si>
  <si>
    <t>Cumplida/ Muy probable</t>
  </si>
  <si>
    <t>Entre 80% y 90%</t>
  </si>
  <si>
    <t>Probable</t>
  </si>
  <si>
    <t>Entre 70% y 80%</t>
  </si>
  <si>
    <t>Poco probable</t>
  </si>
  <si>
    <t>Menor que 70%</t>
  </si>
  <si>
    <t>Improbable/ En riesgo</t>
  </si>
  <si>
    <t>ESCENARIO IDEAL (AJUSTES APLICADOS)</t>
  </si>
  <si>
    <t>Probabilidad cumplimiento</t>
  </si>
  <si>
    <t>Meta Cumplida</t>
  </si>
  <si>
    <t>En riesgo</t>
  </si>
  <si>
    <t>Dirección de Cobertura y Equidad EPBM- Subdirección de Acceso</t>
  </si>
  <si>
    <t>Dirección de Cobertura y Equidad EPBM- Subdirección de Permanencia</t>
  </si>
  <si>
    <t>Meta cumplida</t>
  </si>
  <si>
    <t>REPORTE GENERAL- ESTADO ACTUAL</t>
  </si>
  <si>
    <t>Factor para medición cumpl. SINERGIA</t>
  </si>
  <si>
    <t>Línea Base</t>
  </si>
  <si>
    <t>Period.</t>
  </si>
  <si>
    <t>ESCENARIO IDEAL (CON AJUSTES APLICADOS)</t>
  </si>
  <si>
    <t>Código Ind</t>
  </si>
  <si>
    <t>Brecha urbano -rural</t>
  </si>
  <si>
    <t>Gratuidad (matrícula oficial)</t>
  </si>
  <si>
    <t>Tasa de deserción intra-anual del sector oficial</t>
  </si>
  <si>
    <t>Estudiantes beneficiados con Jornada única</t>
  </si>
  <si>
    <t>Tasa de Supervivencia</t>
  </si>
  <si>
    <t>Años promedio de educación de la población de 15 años y más</t>
  </si>
  <si>
    <t>Tasa de cobertura en educación superior</t>
  </si>
  <si>
    <t>Indicadores</t>
  </si>
  <si>
    <t>Docentes de educación superior con formación doctoral</t>
  </si>
  <si>
    <t>Infraestructura (Aulas entregadas)</t>
  </si>
  <si>
    <t>La cifra de aulas de 2007 en realidad corresponde al total de aulas entregadas durante el periodo 2002-2009</t>
  </si>
  <si>
    <t>Dato a 2016</t>
  </si>
  <si>
    <t>PEND</t>
  </si>
  <si>
    <t>2017 Aún pendiente</t>
  </si>
  <si>
    <t>VIGENCIA 2018</t>
  </si>
  <si>
    <t xml:space="preserve">Avance </t>
  </si>
  <si>
    <t>NOMBRE INDICADOR</t>
  </si>
  <si>
    <t>Dato a diciembre 2017</t>
  </si>
  <si>
    <t>Dato a diciembre 2016</t>
  </si>
  <si>
    <t>DNP consideró inviable ajustes</t>
  </si>
  <si>
    <t>falta reportar 2017-dic</t>
  </si>
  <si>
    <t>OFICIO 2: sigue avance 2016 sin ajustar</t>
  </si>
  <si>
    <t>línea Base continúa sin ajustar</t>
  </si>
  <si>
    <t>No está reportado dato 2016; pendiente validación datos</t>
  </si>
  <si>
    <t>NO TIENE DATO 2016; PEDIR DATO</t>
  </si>
  <si>
    <t>VERIFICAR SI  HAY DATO 2017</t>
  </si>
  <si>
    <t>NO ESTÁ REPORTADO 2017</t>
  </si>
  <si>
    <t>solicitar ajuste dato 2016 que está en 9,30</t>
  </si>
  <si>
    <t>solicitar ajuste dato 2016 que está en 43,70</t>
  </si>
  <si>
    <t>Pendiente dato 2017</t>
  </si>
  <si>
    <t>OJO NO SE HA APLICADO CAMBIO META</t>
  </si>
  <si>
    <t>dato a mayo (oficial a marzo ACUM)- INFORMADO POR EL AREA TECNICA NO PLANEACIÓN</t>
  </si>
  <si>
    <t>Dato a mayo 2018: 25.878
Dato a marzo: 23.639 OFICIAL PND por ser trimestral</t>
  </si>
  <si>
    <t>Atención y asistencia integral a la primera infancia, la infancia, la adolescencia, la juventud y sus familias</t>
  </si>
  <si>
    <t>Cobertura y educación Prescolar, Básica y Media</t>
  </si>
  <si>
    <t>Fomento a la educación superior</t>
  </si>
  <si>
    <t>Infraestructura Educativa Primaria, Básica y Media</t>
  </si>
  <si>
    <t>Mejoramiento de la calidad en educación primaria, básica y media</t>
  </si>
  <si>
    <t>Mejoramiento de la Calidad en educación superior</t>
  </si>
  <si>
    <t>Educación</t>
  </si>
  <si>
    <t>Grupos Étnicos- Educación</t>
  </si>
  <si>
    <t>Región Caribe- Educación</t>
  </si>
  <si>
    <t>Región Eje Cafetero y Antioquia- Educación</t>
  </si>
  <si>
    <t>UND MED.</t>
  </si>
  <si>
    <t>TIPO DE ACUM.</t>
  </si>
  <si>
    <t>Que explica el bajo desempeño del indicador</t>
  </si>
  <si>
    <t>qué acciones ha realizado el área para subsanar el bajo desempeño</t>
  </si>
  <si>
    <t>DATO A 2016</t>
  </si>
  <si>
    <t>AREA RESPONSABLE</t>
  </si>
  <si>
    <t>PROGRAMA ESTRATÉGICO PND</t>
  </si>
  <si>
    <t>No.</t>
  </si>
  <si>
    <t>OBSERVACIONES</t>
  </si>
  <si>
    <t>% CUMP VS META ACUM CORTE 2017</t>
  </si>
  <si>
    <t>% CUMP VS META ACUM CORTE 2018- MAYO</t>
  </si>
  <si>
    <t>Dato a marzo 2018: 7; se toma en cuenta el último año total 2017</t>
  </si>
  <si>
    <t>dato a mayo 2018:39.985 ; el dato en SINERGIA es 31.954 por seguimiento anual</t>
  </si>
  <si>
    <t>43,48%
7.193</t>
  </si>
  <si>
    <t>Dato a diciembre de 2016</t>
  </si>
  <si>
    <t>Dato a diciembre 2017 (dato anualizado es acumulativo para 1er trimestre es 7)</t>
  </si>
  <si>
    <t>dato a mayo 2018:4920; se toma como referencia el anual 2017</t>
  </si>
  <si>
    <t>Reporte a Junio 2018</t>
  </si>
  <si>
    <t>Dato a junio 2018</t>
  </si>
  <si>
    <t>Dato a mayo 2018: 222.704; el último dato en SINERGIA es 209.370 por ser anualizado</t>
  </si>
  <si>
    <t>33%
eran 4.666 se solicitó cambio por 4.220</t>
  </si>
  <si>
    <t>dato a mayo 2018:3905; se toma como referencia el anual 2017</t>
  </si>
  <si>
    <t>Dato a junio: 82%, se mide anualizado</t>
  </si>
  <si>
    <t>Dato a junio: 6%; se toma 2017 por ser anualizada</t>
  </si>
  <si>
    <t>Dato a marzo 2018</t>
  </si>
  <si>
    <t>se solicitó cambio tipo acumulación de CAPACIDAD A FLUJO</t>
  </si>
  <si>
    <t>2017 No disponible aún</t>
  </si>
  <si>
    <t>PENDIENTE REGISTRO AVANCE 2017 EN SINERGIA</t>
  </si>
  <si>
    <t>El área informa que a noviembre-18 se han adjudicado 98 de los 500 créditos condonables para 7.291</t>
  </si>
  <si>
    <r>
      <t xml:space="preserve">Se toma en cuenta el último año total 2017;
</t>
    </r>
    <r>
      <rPr>
        <sz val="11"/>
        <color rgb="FFFF0000"/>
        <rFont val="Calibri"/>
        <family val="2"/>
        <scheme val="minor"/>
      </rPr>
      <t>Dato a junio 2018:23 (Pend Actualizar SINERGIA)</t>
    </r>
    <r>
      <rPr>
        <sz val="11"/>
        <color theme="1"/>
        <rFont val="Calibri"/>
        <family val="2"/>
        <scheme val="minor"/>
      </rPr>
      <t xml:space="preserve">
marzo: 7</t>
    </r>
  </si>
  <si>
    <r>
      <t xml:space="preserve">Dato a junio 2018
</t>
    </r>
    <r>
      <rPr>
        <sz val="11"/>
        <color rgb="FFFF0000"/>
        <rFont val="Calibri"/>
        <family val="2"/>
        <scheme val="minor"/>
      </rPr>
      <t>PENDIENTE DATO DIC 2018</t>
    </r>
  </si>
  <si>
    <r>
      <t xml:space="preserve">Dato a Septiembre 2018
</t>
    </r>
    <r>
      <rPr>
        <sz val="11"/>
        <color rgb="FFFF0000"/>
        <rFont val="Calibri"/>
        <family val="2"/>
        <scheme val="minor"/>
      </rPr>
      <t>PENDIENTE DATO A DICIEMBRE 2018</t>
    </r>
  </si>
  <si>
    <t>Reporte a Diciembre 2018</t>
  </si>
  <si>
    <t>Dato a diciembre 2017
El dato a 2018 sale en mayo-19</t>
  </si>
  <si>
    <r>
      <t xml:space="preserve">Dato a diciembre 2017
</t>
    </r>
    <r>
      <rPr>
        <sz val="11"/>
        <color rgb="FFFF0000"/>
        <rFont val="Calibri"/>
        <family val="2"/>
        <scheme val="minor"/>
      </rPr>
      <t>PENDIENTE DATO A DICIEMBRE 2018</t>
    </r>
  </si>
  <si>
    <t>Dato a septiembre (acumulado): 10.735</t>
  </si>
  <si>
    <t>Dato a diciembre 2017
Dato a 2018 sale en junio 19</t>
  </si>
  <si>
    <r>
      <t xml:space="preserve">Dato a diciembre 2016
</t>
    </r>
    <r>
      <rPr>
        <sz val="11"/>
        <color rgb="FFFF0000"/>
        <rFont val="Calibri"/>
        <family val="2"/>
        <scheme val="minor"/>
      </rPr>
      <t>Pendiente dato 2017 (enero 19)</t>
    </r>
  </si>
  <si>
    <r>
      <t xml:space="preserve">Reporte a diciembre 2017
</t>
    </r>
    <r>
      <rPr>
        <sz val="11"/>
        <color rgb="FFFF0000"/>
        <rFont val="Calibri"/>
        <family val="2"/>
        <scheme val="minor"/>
      </rPr>
      <t>Pendiente cargue junio y dic 2018</t>
    </r>
  </si>
  <si>
    <t>FEBRERO/2019</t>
  </si>
  <si>
    <t>Reporte a diciembre 2018</t>
  </si>
  <si>
    <t>Reporte a octubre 2018: 19.606
Reporte a Junio 2018: 11267</t>
  </si>
  <si>
    <t>Dato a noviembre 2018: 247.608; El dato 2018 se reporta en abril</t>
  </si>
  <si>
    <t>Dato a diciembre 2017
Dato a 2018 sale en abril-19</t>
  </si>
  <si>
    <t>No está disponible aún el dato de 2017; el dato 2018 sale en junio 2019</t>
  </si>
  <si>
    <t>pendiente por generar el dato 2017
el dato 2018 sale hasta 2020</t>
  </si>
  <si>
    <t>Dato a diciembre 2018</t>
  </si>
  <si>
    <t>Para el cierre 2018, PTA ha acompañado 85.038 docentes en 13.118 sedes del país</t>
  </si>
  <si>
    <t>Dato a diciembre 2017
Dato a diciembre 2018 sale en junio 19</t>
  </si>
  <si>
    <t>No hubo aplicación de pruebas en 2018; el dato de cierre es 2017</t>
  </si>
  <si>
    <t>Para la vigencia 2018 no se aplicaron pruebas SABER; el dato de cierre corresponde a 2017</t>
  </si>
  <si>
    <t>Dato a diciembre 2017
Dato a 2018 sale en 2020</t>
  </si>
  <si>
    <t>Dato a diciembre 2017
El dato a 2018 sale en junio 19</t>
  </si>
  <si>
    <t>dato a Noviembre- INFORMACIÓN OAPF
Marzo: 788.973
Junio: 931.771
*Octubre. 984.160
Noviembre: 977.898
Dato cierre diciembre sale en junio-19</t>
  </si>
  <si>
    <t xml:space="preserve">Diciembre: 4.138
septiembre: 4.138
Dato a junio 2018
Febrero: 3.998
Abril: 4.138
</t>
  </si>
  <si>
    <t>Dato a diciembre 2017
Dato a 2018 sale en mayo 19</t>
  </si>
  <si>
    <t xml:space="preserve">Dato a diciembre 2016
Pendiente dato 2017 y 2018 </t>
  </si>
  <si>
    <t>Dato a diciembre 2016
Pendiente reporte 2017 y 2018</t>
  </si>
  <si>
    <t xml:space="preserve">dato a diciembre 2018: 39.995 </t>
  </si>
  <si>
    <t>el dato TOTAL en SINERGIA es 71.949 OJO SOLICITAR AJUSTE</t>
  </si>
  <si>
    <t xml:space="preserve">Dato a diciembre:26.661
</t>
  </si>
  <si>
    <t>Dato a noviembre: 26.644
Dato a septiembre 2018: 26.575
Dato a junio 2018: 25.195
Dato a marzo: 23.639
corte septiembre (acum): 26.575 aulas (11.396 entregadas; 15.179 contratadas)
con corte a junio son 25.195 (9704 entregadas y 15491 contratadas)
del corte a marzo son Nuevas: 8.802  y Contratadas: 14.837</t>
  </si>
  <si>
    <t xml:space="preserve">
marzo: 10,95
junio: 12,80
* Octubre: 13,48%</t>
  </si>
  <si>
    <t>dato a septiembre- REPORTE OAPF</t>
  </si>
  <si>
    <t>RESULTADO PROMEDIO CUMPLIMIENTO METAS CUATRIENIO PND EDUCACIÓN 2015-2018 (corte Febrero 2019)</t>
  </si>
  <si>
    <r>
      <rPr>
        <b/>
        <sz val="9"/>
        <color theme="1"/>
        <rFont val="Calibri"/>
        <family val="2"/>
        <scheme val="minor"/>
      </rPr>
      <t>Fuente: DNP- Sinergia</t>
    </r>
    <r>
      <rPr>
        <sz val="9"/>
        <color theme="1"/>
        <rFont val="Calibri"/>
        <family val="2"/>
        <scheme val="minor"/>
      </rPr>
      <t>. Los resultados de avance acum. Vigencia 2018 corresponden a los reportes que hasta el corte de febrero de 2019 han sido cargados en el sistema; no obstante, corresponde a información prliminar de cierre, toda vez que, considerando la hoja de vida del indicador, hay algunos con rezagos de hasta 360 días.</t>
    </r>
  </si>
  <si>
    <r>
      <rPr>
        <b/>
        <sz val="9"/>
        <color theme="1"/>
        <rFont val="Calibri"/>
        <family val="2"/>
        <scheme val="minor"/>
      </rPr>
      <t xml:space="preserve">Análisis: </t>
    </r>
    <r>
      <rPr>
        <sz val="9"/>
        <color theme="1"/>
        <rFont val="Calibri"/>
        <family val="2"/>
        <scheme val="minor"/>
      </rPr>
      <t>MEN- OAPF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</si>
</sst>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43" formatCode="_-* #,##0.00_-;\-* #,##0.00_-;_-* &quot;-&quot;??_-;_-@_-"/>
    <numFmt numFmtId="164" formatCode="0.0%"/>
    <numFmt numFmtId="165" formatCode="_(* #,##0_);_(* \(#,##0\);_(* &quot;-&quot;??_);_(@_)"/>
    <numFmt numFmtId="166" formatCode="_-* #,##0_-;\-* #,##0_-;_-* &quot;-&quot;??_-;_-@_-"/>
    <numFmt numFmtId="167" formatCode="_-* #,##0.00_-;\-* #,##0.00_-;_-* &quot;-&quot;_-;_-@_-"/>
    <numFmt numFmtId="168" formatCode="_-* #,##0.0_-;\-* #,##0.0_-;_-* &quot;-&quot;?_-;_-@_-"/>
  </numFmts>
  <fonts count="49" x14ac:knownFonts="1">
    <font>
      <sz val="11"/>
      <color theme="1"/>
      <name val="Calibri"/>
      <family val="2"/>
      <scheme val="minor"/>
    </font>
    <font>
      <sz val="11"/>
      <color theme="1"/>
      <name val="Calibri"/>
      <family val="2"/>
      <scheme val="minor"/>
    </font>
    <font>
      <b/>
      <sz val="24"/>
      <color rgb="FF000000"/>
      <name val="Calibri"/>
      <family val="2"/>
    </font>
    <font>
      <sz val="11"/>
      <color rgb="FF000000"/>
      <name val="Calibri"/>
      <family val="2"/>
    </font>
    <font>
      <b/>
      <sz val="11"/>
      <color rgb="FFFFFFFF"/>
      <name val="Calibri"/>
      <family val="2"/>
    </font>
    <font>
      <sz val="11"/>
      <name val="Calibri"/>
      <family val="2"/>
    </font>
    <font>
      <sz val="11"/>
      <name val="Calibri"/>
      <family val="2"/>
      <scheme val="minor"/>
    </font>
    <font>
      <sz val="12"/>
      <color theme="1"/>
      <name val="Calibri"/>
      <family val="2"/>
      <scheme val="minor"/>
    </font>
    <font>
      <sz val="16"/>
      <color rgb="FF000000"/>
      <name val="Calibri"/>
      <family val="2"/>
      <scheme val="minor"/>
    </font>
    <font>
      <sz val="11"/>
      <color rgb="FF000000"/>
      <name val="Calibri"/>
      <family val="2"/>
      <scheme val="minor"/>
    </font>
    <font>
      <b/>
      <sz val="11"/>
      <color rgb="FFFFFFFF"/>
      <name val="Calibri"/>
      <family val="2"/>
      <scheme val="minor"/>
    </font>
    <font>
      <sz val="9"/>
      <color indexed="81"/>
      <name val="Tahoma"/>
      <family val="2"/>
    </font>
    <font>
      <b/>
      <sz val="9"/>
      <color indexed="81"/>
      <name val="Tahoma"/>
      <family val="2"/>
    </font>
    <font>
      <b/>
      <sz val="14"/>
      <color rgb="FFFFFFFF"/>
      <name val="Calibri"/>
      <family val="2"/>
      <scheme val="minor"/>
    </font>
    <font>
      <sz val="11"/>
      <color rgb="FFC00000"/>
      <name val="Calibri"/>
      <family val="2"/>
      <scheme val="minor"/>
    </font>
    <font>
      <sz val="11"/>
      <color rgb="FF000000"/>
      <name val="Calibri Light"/>
      <family val="2"/>
      <scheme val="major"/>
    </font>
    <font>
      <b/>
      <sz val="14"/>
      <color indexed="81"/>
      <name val="Tahoma"/>
      <family val="2"/>
    </font>
    <font>
      <b/>
      <sz val="11"/>
      <color theme="1"/>
      <name val="Calibri"/>
      <family val="2"/>
      <scheme val="minor"/>
    </font>
    <font>
      <sz val="11"/>
      <color rgb="FFFF0000"/>
      <name val="Calibri"/>
      <family val="2"/>
      <scheme val="minor"/>
    </font>
    <font>
      <b/>
      <sz val="11"/>
      <name val="Calibri"/>
      <family val="2"/>
      <scheme val="minor"/>
    </font>
    <font>
      <b/>
      <sz val="11"/>
      <name val="Calibri"/>
      <family val="2"/>
    </font>
    <font>
      <sz val="20"/>
      <color theme="5" tint="-0.249977111117893"/>
      <name val="Calibri"/>
      <family val="2"/>
      <scheme val="minor"/>
    </font>
    <font>
      <b/>
      <sz val="11"/>
      <color rgb="FF000000"/>
      <name val="Calibri"/>
      <family val="2"/>
    </font>
    <font>
      <b/>
      <sz val="11"/>
      <color theme="9" tint="-0.499984740745262"/>
      <name val="Calibri"/>
      <family val="2"/>
      <scheme val="minor"/>
    </font>
    <font>
      <b/>
      <sz val="11"/>
      <color theme="0"/>
      <name val="Calibri"/>
      <family val="2"/>
      <scheme val="minor"/>
    </font>
    <font>
      <sz val="11"/>
      <color theme="0"/>
      <name val="Calibri"/>
      <family val="2"/>
      <scheme val="minor"/>
    </font>
    <font>
      <i/>
      <sz val="11"/>
      <color rgb="FFC00000"/>
      <name val="Calibri"/>
      <family val="2"/>
      <scheme val="minor"/>
    </font>
    <font>
      <b/>
      <sz val="11"/>
      <color theme="1"/>
      <name val="Verdana"/>
      <family val="2"/>
    </font>
    <font>
      <sz val="11"/>
      <color theme="1"/>
      <name val="Verdana"/>
      <family val="2"/>
    </font>
    <font>
      <sz val="10"/>
      <color theme="1"/>
      <name val="Verdana"/>
      <family val="2"/>
    </font>
    <font>
      <b/>
      <sz val="10"/>
      <color theme="1"/>
      <name val="Verdana"/>
      <family val="2"/>
    </font>
    <font>
      <i/>
      <sz val="11"/>
      <name val="Calibri"/>
      <family val="2"/>
      <scheme val="minor"/>
    </font>
    <font>
      <b/>
      <sz val="18"/>
      <color theme="1"/>
      <name val="Calibri"/>
      <family val="2"/>
      <scheme val="minor"/>
    </font>
    <font>
      <sz val="18"/>
      <color theme="1"/>
      <name val="Calibri"/>
      <family val="2"/>
      <scheme val="minor"/>
    </font>
    <font>
      <b/>
      <sz val="20"/>
      <color theme="1"/>
      <name val="Calibri"/>
      <family val="2"/>
      <scheme val="minor"/>
    </font>
    <font>
      <b/>
      <sz val="22"/>
      <color theme="1"/>
      <name val="Calibri"/>
      <family val="2"/>
      <scheme val="minor"/>
    </font>
    <font>
      <sz val="20"/>
      <color theme="1"/>
      <name val="Calibri"/>
      <family val="2"/>
      <scheme val="minor"/>
    </font>
    <font>
      <i/>
      <sz val="11"/>
      <color rgb="FFFF0000"/>
      <name val="Calibri"/>
      <family val="2"/>
      <scheme val="minor"/>
    </font>
    <font>
      <b/>
      <sz val="11"/>
      <color rgb="FFFF0000"/>
      <name val="Calibri"/>
      <family val="2"/>
      <scheme val="minor"/>
    </font>
    <font>
      <b/>
      <sz val="12"/>
      <color theme="0"/>
      <name val="Calibri"/>
      <family val="2"/>
      <scheme val="minor"/>
    </font>
    <font>
      <b/>
      <sz val="16"/>
      <color rgb="FF0070C0"/>
      <name val="Calibri"/>
      <family val="2"/>
      <scheme val="minor"/>
    </font>
    <font>
      <b/>
      <sz val="18"/>
      <color rgb="FF0070C0"/>
      <name val="Calibri"/>
      <family val="2"/>
      <scheme val="minor"/>
    </font>
    <font>
      <b/>
      <sz val="18"/>
      <color theme="8" tint="-0.499984740745262"/>
      <name val="Calibri"/>
      <family val="2"/>
      <scheme val="minor"/>
    </font>
    <font>
      <b/>
      <sz val="14"/>
      <color theme="1"/>
      <name val="Calibri"/>
      <family val="2"/>
      <scheme val="minor"/>
    </font>
    <font>
      <sz val="11"/>
      <color theme="1"/>
      <name val="Calibri"/>
      <family val="2"/>
    </font>
    <font>
      <b/>
      <sz val="11"/>
      <color theme="0"/>
      <name val="Calibri"/>
      <family val="2"/>
    </font>
    <font>
      <sz val="12"/>
      <name val="Calibri"/>
      <family val="2"/>
      <scheme val="minor"/>
    </font>
    <font>
      <sz val="9"/>
      <color theme="1"/>
      <name val="Calibri"/>
      <family val="2"/>
      <scheme val="minor"/>
    </font>
    <font>
      <b/>
      <sz val="9"/>
      <color theme="1"/>
      <name val="Calibri"/>
      <family val="2"/>
      <scheme val="minor"/>
    </font>
  </fonts>
  <fills count="25">
    <fill>
      <patternFill patternType="none"/>
    </fill>
    <fill>
      <patternFill patternType="gray125"/>
    </fill>
    <fill>
      <patternFill patternType="solid">
        <fgColor rgb="FF800000"/>
        <bgColor rgb="FF800000"/>
      </patternFill>
    </fill>
    <fill>
      <patternFill patternType="solid">
        <fgColor theme="7" tint="0.79998168889431442"/>
        <bgColor indexed="64"/>
      </patternFill>
    </fill>
    <fill>
      <patternFill patternType="solid">
        <fgColor theme="7" tint="0.39997558519241921"/>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theme="0"/>
        <bgColor indexed="64"/>
      </patternFill>
    </fill>
    <fill>
      <patternFill patternType="solid">
        <fgColor rgb="FFFFC7CE"/>
        <bgColor rgb="FFFFC7CE"/>
      </patternFill>
    </fill>
    <fill>
      <patternFill patternType="solid">
        <fgColor rgb="FFFFFF00"/>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theme="6" tint="0.79998168889431442"/>
        <bgColor indexed="64"/>
      </patternFill>
    </fill>
    <fill>
      <patternFill patternType="solid">
        <fgColor rgb="FF92D050"/>
        <bgColor indexed="64"/>
      </patternFill>
    </fill>
    <fill>
      <patternFill patternType="solid">
        <fgColor rgb="FF00B050"/>
        <bgColor indexed="64"/>
      </patternFill>
    </fill>
    <fill>
      <patternFill patternType="solid">
        <fgColor theme="5"/>
        <bgColor indexed="64"/>
      </patternFill>
    </fill>
    <fill>
      <patternFill patternType="solid">
        <fgColor rgb="FF0070C0"/>
        <bgColor indexed="64"/>
      </patternFill>
    </fill>
    <fill>
      <patternFill patternType="solid">
        <fgColor rgb="FFFFC000"/>
        <bgColor indexed="64"/>
      </patternFill>
    </fill>
    <fill>
      <patternFill patternType="solid">
        <fgColor theme="5" tint="-0.499984740745262"/>
        <bgColor indexed="64"/>
      </patternFill>
    </fill>
    <fill>
      <patternFill patternType="solid">
        <fgColor theme="4"/>
        <bgColor indexed="64"/>
      </patternFill>
    </fill>
    <fill>
      <patternFill patternType="solid">
        <fgColor theme="4" tint="0.79998168889431442"/>
        <bgColor indexed="64"/>
      </patternFill>
    </fill>
    <fill>
      <patternFill patternType="solid">
        <fgColor rgb="FF0070C0"/>
        <bgColor rgb="FF800000"/>
      </patternFill>
    </fill>
    <fill>
      <patternFill patternType="solid">
        <fgColor theme="7"/>
        <bgColor indexed="64"/>
      </patternFill>
    </fill>
  </fills>
  <borders count="9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indexed="64"/>
      </bottom>
      <diagonal/>
    </border>
    <border>
      <left/>
      <right/>
      <top style="medium">
        <color indexed="64"/>
      </top>
      <bottom style="medium">
        <color indexed="64"/>
      </bottom>
      <diagonal/>
    </border>
    <border>
      <left style="thin">
        <color auto="1"/>
      </left>
      <right style="thin">
        <color auto="1"/>
      </right>
      <top style="thin">
        <color auto="1"/>
      </top>
      <bottom/>
      <diagonal/>
    </border>
    <border>
      <left style="thin">
        <color auto="1"/>
      </left>
      <right style="thin">
        <color auto="1"/>
      </right>
      <top style="medium">
        <color indexed="64"/>
      </top>
      <bottom style="thin">
        <color auto="1"/>
      </bottom>
      <diagonal/>
    </border>
    <border>
      <left/>
      <right style="thin">
        <color auto="1"/>
      </right>
      <top style="thin">
        <color auto="1"/>
      </top>
      <bottom/>
      <diagonal/>
    </border>
    <border>
      <left/>
      <right style="thin">
        <color auto="1"/>
      </right>
      <top style="medium">
        <color indexed="64"/>
      </top>
      <bottom style="thin">
        <color auto="1"/>
      </bottom>
      <diagonal/>
    </border>
    <border>
      <left/>
      <right style="thin">
        <color auto="1"/>
      </right>
      <top style="thin">
        <color auto="1"/>
      </top>
      <bottom style="medium">
        <color indexed="64"/>
      </bottom>
      <diagonal/>
    </border>
    <border>
      <left style="thin">
        <color auto="1"/>
      </left>
      <right/>
      <top style="thin">
        <color auto="1"/>
      </top>
      <bottom/>
      <diagonal/>
    </border>
    <border>
      <left style="thin">
        <color auto="1"/>
      </left>
      <right style="medium">
        <color indexed="64"/>
      </right>
      <top/>
      <bottom/>
      <diagonal/>
    </border>
    <border>
      <left style="thin">
        <color auto="1"/>
      </left>
      <right/>
      <top style="thin">
        <color auto="1"/>
      </top>
      <bottom style="thin">
        <color auto="1"/>
      </bottom>
      <diagonal/>
    </border>
    <border>
      <left style="thin">
        <color auto="1"/>
      </left>
      <right/>
      <top style="medium">
        <color indexed="64"/>
      </top>
      <bottom style="thin">
        <color auto="1"/>
      </bottom>
      <diagonal/>
    </border>
    <border>
      <left style="thin">
        <color auto="1"/>
      </left>
      <right/>
      <top style="thin">
        <color auto="1"/>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thin">
        <color auto="1"/>
      </left>
      <right/>
      <top/>
      <bottom style="thin">
        <color auto="1"/>
      </bottom>
      <diagonal/>
    </border>
    <border>
      <left/>
      <right style="thin">
        <color auto="1"/>
      </right>
      <top/>
      <bottom/>
      <diagonal/>
    </border>
    <border>
      <left style="thin">
        <color auto="1"/>
      </left>
      <right/>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thin">
        <color auto="1"/>
      </right>
      <top/>
      <bottom style="thin">
        <color auto="1"/>
      </bottom>
      <diagonal/>
    </border>
    <border>
      <left style="medium">
        <color indexed="64"/>
      </left>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dotted">
        <color indexed="64"/>
      </left>
      <right style="dotted">
        <color indexed="64"/>
      </right>
      <top style="dotted">
        <color indexed="64"/>
      </top>
      <bottom style="dotted">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dotted">
        <color indexed="64"/>
      </left>
      <right/>
      <top style="medium">
        <color indexed="64"/>
      </top>
      <bottom style="medium">
        <color indexed="64"/>
      </bottom>
      <diagonal/>
    </border>
    <border>
      <left style="dotted">
        <color indexed="64"/>
      </left>
      <right style="dotted">
        <color indexed="64"/>
      </right>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dotted">
        <color indexed="64"/>
      </right>
      <top style="dotted">
        <color indexed="64"/>
      </top>
      <bottom style="medium">
        <color indexed="64"/>
      </bottom>
      <diagonal/>
    </border>
    <border>
      <left/>
      <right style="dotted">
        <color indexed="64"/>
      </right>
      <top style="dotted">
        <color indexed="64"/>
      </top>
      <bottom style="dotted">
        <color indexed="64"/>
      </bottom>
      <diagonal/>
    </border>
    <border>
      <left style="medium">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dotted">
        <color indexed="64"/>
      </left>
      <right/>
      <top style="medium">
        <color indexed="64"/>
      </top>
      <bottom style="dotted">
        <color indexed="64"/>
      </bottom>
      <diagonal/>
    </border>
    <border>
      <left style="thin">
        <color auto="1"/>
      </left>
      <right/>
      <top style="medium">
        <color indexed="64"/>
      </top>
      <bottom style="medium">
        <color indexed="64"/>
      </bottom>
      <diagonal/>
    </border>
    <border>
      <left style="dotted">
        <color indexed="64"/>
      </left>
      <right/>
      <top/>
      <bottom style="dotted">
        <color indexed="64"/>
      </bottom>
      <diagonal/>
    </border>
    <border>
      <left/>
      <right style="thin">
        <color auto="1"/>
      </right>
      <top style="medium">
        <color indexed="64"/>
      </top>
      <bottom style="medium">
        <color indexed="64"/>
      </bottom>
      <diagonal/>
    </border>
    <border>
      <left style="dotted">
        <color indexed="64"/>
      </left>
      <right style="dotted">
        <color indexed="64"/>
      </right>
      <top/>
      <bottom style="medium">
        <color indexed="64"/>
      </bottom>
      <diagonal/>
    </border>
    <border>
      <left style="dotted">
        <color indexed="64"/>
      </left>
      <right/>
      <top/>
      <bottom style="medium">
        <color indexed="64"/>
      </bottom>
      <diagonal/>
    </border>
    <border>
      <left/>
      <right style="dotted">
        <color indexed="64"/>
      </right>
      <top style="dotted">
        <color indexed="64"/>
      </top>
      <bottom style="medium">
        <color indexed="64"/>
      </bottom>
      <diagonal/>
    </border>
    <border>
      <left/>
      <right style="dotted">
        <color indexed="64"/>
      </right>
      <top style="medium">
        <color indexed="64"/>
      </top>
      <bottom style="dotted">
        <color indexed="64"/>
      </bottom>
      <diagonal/>
    </border>
    <border>
      <left/>
      <right style="dotted">
        <color indexed="64"/>
      </right>
      <top style="medium">
        <color indexed="64"/>
      </top>
      <bottom style="medium">
        <color indexed="64"/>
      </bottom>
      <diagonal/>
    </border>
    <border>
      <left/>
      <right style="thin">
        <color auto="1"/>
      </right>
      <top style="medium">
        <color indexed="64"/>
      </top>
      <bottom/>
      <diagonal/>
    </border>
    <border>
      <left style="medium">
        <color indexed="64"/>
      </left>
      <right style="thin">
        <color auto="1"/>
      </right>
      <top/>
      <bottom/>
      <diagonal/>
    </border>
    <border>
      <left style="medium">
        <color indexed="64"/>
      </left>
      <right style="thin">
        <color auto="1"/>
      </right>
      <top/>
      <bottom style="medium">
        <color indexed="64"/>
      </bottom>
      <diagonal/>
    </border>
    <border>
      <left style="thin">
        <color auto="1"/>
      </left>
      <right/>
      <top style="medium">
        <color indexed="64"/>
      </top>
      <bottom/>
      <diagonal/>
    </border>
    <border>
      <left style="hair">
        <color indexed="64"/>
      </left>
      <right style="thin">
        <color auto="1"/>
      </right>
      <top style="medium">
        <color indexed="64"/>
      </top>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medium">
        <color indexed="64"/>
      </top>
      <bottom style="dashed">
        <color indexed="64"/>
      </bottom>
      <diagonal/>
    </border>
    <border>
      <left style="dashed">
        <color indexed="64"/>
      </left>
      <right style="dashed">
        <color indexed="64"/>
      </right>
      <top style="dashed">
        <color indexed="64"/>
      </top>
      <bottom style="medium">
        <color indexed="64"/>
      </bottom>
      <diagonal/>
    </border>
    <border>
      <left style="medium">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medium">
        <color indexed="64"/>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s>
  <cellStyleXfs count="6">
    <xf numFmtId="0" fontId="0" fillId="0" borderId="0"/>
    <xf numFmtId="43" fontId="1" fillId="0" borderId="0" applyFont="0" applyFill="0" applyBorder="0" applyAlignment="0" applyProtection="0"/>
    <xf numFmtId="41" fontId="1"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cellStyleXfs>
  <cellXfs count="834">
    <xf numFmtId="0" fontId="0" fillId="0" borderId="0" xfId="0"/>
    <xf numFmtId="0" fontId="2" fillId="0" borderId="0" xfId="0" applyFont="1" applyBorder="1" applyAlignment="1">
      <alignment vertical="center"/>
    </xf>
    <xf numFmtId="0" fontId="3" fillId="0" borderId="1" xfId="0" applyFont="1" applyFill="1" applyBorder="1" applyAlignment="1">
      <alignment horizontal="left" vertical="center" wrapText="1"/>
    </xf>
    <xf numFmtId="0" fontId="3" fillId="0" borderId="1" xfId="0" applyFont="1" applyFill="1" applyBorder="1" applyAlignment="1">
      <alignment horizontal="left" vertical="top" wrapText="1"/>
    </xf>
    <xf numFmtId="0" fontId="5" fillId="0" borderId="1" xfId="0" applyFont="1" applyFill="1" applyBorder="1" applyAlignment="1">
      <alignment horizontal="left" vertical="center" wrapText="1"/>
    </xf>
    <xf numFmtId="0" fontId="0" fillId="0" borderId="0" xfId="0" applyFont="1"/>
    <xf numFmtId="0" fontId="8" fillId="0" borderId="0" xfId="0" applyFont="1" applyBorder="1" applyAlignment="1">
      <alignment horizontal="center" vertical="center"/>
    </xf>
    <xf numFmtId="0" fontId="8" fillId="0" borderId="0" xfId="0" applyFont="1" applyBorder="1" applyAlignment="1">
      <alignment vertical="center"/>
    </xf>
    <xf numFmtId="0" fontId="9" fillId="0" borderId="0" xfId="0" applyFont="1" applyBorder="1"/>
    <xf numFmtId="9" fontId="6" fillId="0" borderId="1" xfId="3" applyFont="1" applyFill="1" applyBorder="1" applyAlignment="1">
      <alignment horizontal="right" vertical="center" wrapText="1"/>
    </xf>
    <xf numFmtId="10" fontId="6" fillId="0" borderId="1" xfId="3" applyNumberFormat="1" applyFont="1" applyFill="1" applyBorder="1" applyAlignment="1">
      <alignment horizontal="right" vertical="center" wrapText="1"/>
    </xf>
    <xf numFmtId="0" fontId="6" fillId="0" borderId="1" xfId="0" applyFont="1" applyFill="1" applyBorder="1" applyAlignment="1">
      <alignment horizontal="right" vertical="center"/>
    </xf>
    <xf numFmtId="9" fontId="6" fillId="0" borderId="1" xfId="0" applyNumberFormat="1" applyFont="1" applyFill="1" applyBorder="1" applyAlignment="1">
      <alignment horizontal="right" vertical="center" wrapText="1"/>
    </xf>
    <xf numFmtId="10" fontId="6" fillId="0" borderId="1" xfId="0" applyNumberFormat="1" applyFont="1" applyFill="1" applyBorder="1" applyAlignment="1">
      <alignment horizontal="right" vertical="center" wrapText="1"/>
    </xf>
    <xf numFmtId="10" fontId="6" fillId="0" borderId="1" xfId="0" applyNumberFormat="1" applyFont="1" applyFill="1" applyBorder="1" applyAlignment="1">
      <alignment horizontal="right" vertical="center"/>
    </xf>
    <xf numFmtId="164" fontId="6" fillId="0" borderId="1" xfId="0" applyNumberFormat="1" applyFont="1" applyFill="1" applyBorder="1" applyAlignment="1">
      <alignment horizontal="right" vertical="center" wrapText="1"/>
    </xf>
    <xf numFmtId="165" fontId="6" fillId="0" borderId="1" xfId="0" applyNumberFormat="1" applyFont="1" applyFill="1" applyBorder="1" applyAlignment="1">
      <alignment horizontal="right" vertical="center" wrapText="1"/>
    </xf>
    <xf numFmtId="1" fontId="6" fillId="0" borderId="1" xfId="0" applyNumberFormat="1" applyFont="1" applyFill="1" applyBorder="1" applyAlignment="1">
      <alignment horizontal="right" vertical="center" wrapText="1"/>
    </xf>
    <xf numFmtId="1" fontId="6" fillId="0" borderId="1" xfId="0" applyNumberFormat="1" applyFont="1" applyFill="1" applyBorder="1" applyAlignment="1">
      <alignment horizontal="right" vertical="center"/>
    </xf>
    <xf numFmtId="165" fontId="6" fillId="0" borderId="1" xfId="1" applyNumberFormat="1" applyFont="1" applyFill="1" applyBorder="1" applyAlignment="1">
      <alignment horizontal="right" vertical="center"/>
    </xf>
    <xf numFmtId="0" fontId="6" fillId="0" borderId="1" xfId="0" applyFont="1" applyFill="1" applyBorder="1" applyAlignment="1">
      <alignment horizontal="right" vertical="center" wrapText="1"/>
    </xf>
    <xf numFmtId="10" fontId="6" fillId="0" borderId="1" xfId="3" applyNumberFormat="1" applyFont="1" applyFill="1" applyBorder="1" applyAlignment="1" applyProtection="1">
      <alignment horizontal="right" vertical="center" wrapText="1"/>
    </xf>
    <xf numFmtId="164" fontId="6" fillId="0" borderId="1" xfId="0" applyNumberFormat="1" applyFont="1" applyFill="1" applyBorder="1" applyAlignment="1">
      <alignment horizontal="right" vertical="center"/>
    </xf>
    <xf numFmtId="9" fontId="6" fillId="0" borderId="1" xfId="0" applyNumberFormat="1" applyFont="1" applyFill="1" applyBorder="1" applyAlignment="1">
      <alignment horizontal="right" vertical="center"/>
    </xf>
    <xf numFmtId="0" fontId="10" fillId="2" borderId="2" xfId="0" applyFont="1" applyFill="1" applyBorder="1" applyAlignment="1">
      <alignment horizontal="center" vertical="center" wrapText="1"/>
    </xf>
    <xf numFmtId="164" fontId="6" fillId="0" borderId="1" xfId="0" applyNumberFormat="1" applyFont="1" applyFill="1" applyBorder="1" applyAlignment="1" applyProtection="1">
      <alignment horizontal="right" vertical="center" wrapText="1"/>
    </xf>
    <xf numFmtId="10" fontId="6" fillId="5" borderId="1" xfId="0" applyNumberFormat="1" applyFont="1" applyFill="1" applyBorder="1" applyAlignment="1">
      <alignment horizontal="right" vertical="center" wrapText="1"/>
    </xf>
    <xf numFmtId="166" fontId="6" fillId="0" borderId="1" xfId="1" applyNumberFormat="1" applyFont="1" applyFill="1" applyBorder="1" applyAlignment="1">
      <alignment horizontal="right" vertical="center"/>
    </xf>
    <xf numFmtId="43" fontId="6" fillId="0" borderId="1" xfId="1" applyFont="1" applyFill="1" applyBorder="1" applyAlignment="1">
      <alignment horizontal="right" vertical="center" wrapText="1"/>
    </xf>
    <xf numFmtId="166" fontId="6" fillId="0" borderId="1" xfId="1" applyNumberFormat="1" applyFont="1" applyFill="1" applyBorder="1" applyAlignment="1">
      <alignment horizontal="right" vertical="center" wrapText="1"/>
    </xf>
    <xf numFmtId="164" fontId="6" fillId="0" borderId="1" xfId="5" applyNumberFormat="1" applyFont="1" applyFill="1" applyBorder="1" applyAlignment="1">
      <alignment horizontal="right" vertical="center" wrapText="1"/>
    </xf>
    <xf numFmtId="10" fontId="6" fillId="0" borderId="1" xfId="5" applyNumberFormat="1" applyFont="1" applyFill="1" applyBorder="1" applyAlignment="1">
      <alignment horizontal="right" vertical="center"/>
    </xf>
    <xf numFmtId="10" fontId="6" fillId="0" borderId="1" xfId="5" applyNumberFormat="1" applyFont="1" applyFill="1" applyBorder="1" applyAlignment="1">
      <alignment horizontal="right" vertical="center" wrapText="1"/>
    </xf>
    <xf numFmtId="10" fontId="6" fillId="5" borderId="1" xfId="5" applyNumberFormat="1" applyFont="1" applyFill="1" applyBorder="1" applyAlignment="1">
      <alignment horizontal="right" vertical="center" wrapText="1"/>
    </xf>
    <xf numFmtId="10" fontId="6" fillId="5" borderId="1" xfId="5" applyNumberFormat="1" applyFont="1" applyFill="1" applyBorder="1" applyAlignment="1">
      <alignment horizontal="right" vertical="center"/>
    </xf>
    <xf numFmtId="166" fontId="6" fillId="5" borderId="1" xfId="1" applyNumberFormat="1" applyFont="1" applyFill="1" applyBorder="1" applyAlignment="1">
      <alignment horizontal="right" vertical="center" wrapText="1"/>
    </xf>
    <xf numFmtId="166" fontId="6" fillId="5" borderId="1" xfId="1" applyNumberFormat="1" applyFont="1" applyFill="1" applyBorder="1" applyAlignment="1">
      <alignment horizontal="right" vertical="center"/>
    </xf>
    <xf numFmtId="9" fontId="6" fillId="0" borderId="1" xfId="3" applyFont="1" applyFill="1" applyBorder="1" applyAlignment="1">
      <alignment horizontal="center" vertical="center" wrapText="1"/>
    </xf>
    <xf numFmtId="10" fontId="6" fillId="0" borderId="1" xfId="0" applyNumberFormat="1" applyFont="1" applyFill="1" applyBorder="1" applyAlignment="1">
      <alignment horizontal="center" vertical="center" wrapText="1"/>
    </xf>
    <xf numFmtId="10" fontId="6" fillId="0" borderId="1" xfId="3" applyNumberFormat="1" applyFont="1" applyFill="1" applyBorder="1" applyAlignment="1">
      <alignment horizontal="center" vertical="center"/>
    </xf>
    <xf numFmtId="10" fontId="6" fillId="0" borderId="1" xfId="5" applyNumberFormat="1" applyFont="1" applyFill="1" applyBorder="1" applyAlignment="1">
      <alignment horizontal="center" vertical="center"/>
    </xf>
    <xf numFmtId="164" fontId="6" fillId="0" borderId="1" xfId="3" applyNumberFormat="1" applyFont="1" applyFill="1" applyBorder="1" applyAlignment="1">
      <alignment horizontal="center" vertical="center"/>
    </xf>
    <xf numFmtId="166" fontId="6" fillId="0" borderId="1" xfId="1" applyNumberFormat="1" applyFont="1" applyFill="1" applyBorder="1" applyAlignment="1">
      <alignment horizontal="center" vertical="center"/>
    </xf>
    <xf numFmtId="165" fontId="6" fillId="0" borderId="1" xfId="1" applyNumberFormat="1" applyFont="1" applyFill="1" applyBorder="1" applyAlignment="1" applyProtection="1">
      <alignment horizontal="center" vertical="center" wrapText="1"/>
    </xf>
    <xf numFmtId="10" fontId="6" fillId="0" borderId="1" xfId="5" applyNumberFormat="1" applyFont="1" applyFill="1" applyBorder="1" applyAlignment="1">
      <alignment horizontal="center" vertical="center" wrapText="1"/>
    </xf>
    <xf numFmtId="9" fontId="6" fillId="0" borderId="1" xfId="0" applyNumberFormat="1" applyFont="1" applyFill="1" applyBorder="1" applyAlignment="1">
      <alignment horizontal="center" vertical="center"/>
    </xf>
    <xf numFmtId="0" fontId="0" fillId="0" borderId="1" xfId="0" applyBorder="1" applyAlignment="1">
      <alignment horizontal="center" vertical="center"/>
    </xf>
    <xf numFmtId="10" fontId="6" fillId="5" borderId="6" xfId="5" applyNumberFormat="1" applyFont="1" applyFill="1" applyBorder="1" applyAlignment="1">
      <alignment horizontal="right" vertical="center" wrapText="1"/>
    </xf>
    <xf numFmtId="10" fontId="6" fillId="5" borderId="1" xfId="5" applyNumberFormat="1" applyFont="1" applyFill="1" applyBorder="1" applyAlignment="1">
      <alignment horizontal="center" vertical="center"/>
    </xf>
    <xf numFmtId="166" fontId="6" fillId="5" borderId="6" xfId="1" applyNumberFormat="1" applyFont="1" applyFill="1" applyBorder="1" applyAlignment="1">
      <alignment horizontal="right" vertical="center" wrapText="1"/>
    </xf>
    <xf numFmtId="10" fontId="6" fillId="5" borderId="6" xfId="0" applyNumberFormat="1" applyFont="1" applyFill="1" applyBorder="1" applyAlignment="1">
      <alignment horizontal="right" vertical="center" wrapText="1"/>
    </xf>
    <xf numFmtId="10" fontId="6" fillId="0" borderId="6" xfId="5" applyNumberFormat="1" applyFont="1" applyFill="1" applyBorder="1" applyAlignment="1">
      <alignment horizontal="right" vertical="center" wrapText="1"/>
    </xf>
    <xf numFmtId="10" fontId="6" fillId="0" borderId="1" xfId="5" applyNumberFormat="1" applyFont="1" applyFill="1" applyBorder="1" applyAlignment="1" applyProtection="1">
      <alignment horizontal="center" vertical="center" wrapText="1"/>
    </xf>
    <xf numFmtId="2" fontId="6" fillId="0" borderId="1" xfId="3" applyNumberFormat="1" applyFont="1" applyFill="1" applyBorder="1" applyAlignment="1" applyProtection="1">
      <alignment horizontal="center" vertical="center" wrapText="1"/>
    </xf>
    <xf numFmtId="0" fontId="6" fillId="0" borderId="1" xfId="0" applyFont="1" applyFill="1" applyBorder="1" applyAlignment="1">
      <alignment horizontal="center" vertical="center"/>
    </xf>
    <xf numFmtId="166" fontId="6" fillId="0" borderId="1" xfId="1" applyNumberFormat="1" applyFont="1" applyFill="1" applyBorder="1" applyAlignment="1">
      <alignment horizontal="center" vertical="center" wrapText="1"/>
    </xf>
    <xf numFmtId="166" fontId="6" fillId="0" borderId="6" xfId="1" applyNumberFormat="1" applyFont="1" applyFill="1" applyBorder="1" applyAlignment="1">
      <alignment horizontal="right" vertical="center"/>
    </xf>
    <xf numFmtId="0" fontId="6" fillId="0" borderId="1" xfId="0" applyFont="1" applyFill="1" applyBorder="1" applyAlignment="1">
      <alignment horizontal="center" vertical="center" wrapText="1"/>
    </xf>
    <xf numFmtId="10" fontId="6" fillId="0" borderId="11" xfId="0" applyNumberFormat="1" applyFont="1" applyFill="1" applyBorder="1" applyAlignment="1">
      <alignment horizontal="right" vertical="center"/>
    </xf>
    <xf numFmtId="0" fontId="0" fillId="0" borderId="1" xfId="0" applyBorder="1" applyAlignment="1">
      <alignment horizontal="center" vertical="center" wrapText="1"/>
    </xf>
    <xf numFmtId="10" fontId="6" fillId="0" borderId="1" xfId="0" applyNumberFormat="1" applyFont="1" applyFill="1" applyBorder="1" applyAlignment="1">
      <alignment horizontal="center" vertical="center"/>
    </xf>
    <xf numFmtId="10" fontId="6" fillId="0" borderId="6" xfId="0" applyNumberFormat="1" applyFont="1" applyFill="1" applyBorder="1" applyAlignment="1">
      <alignment horizontal="right" vertical="center" wrapText="1"/>
    </xf>
    <xf numFmtId="165" fontId="6" fillId="0" borderId="1" xfId="0" applyNumberFormat="1" applyFont="1" applyFill="1" applyBorder="1" applyAlignment="1">
      <alignment horizontal="center" vertical="center"/>
    </xf>
    <xf numFmtId="41" fontId="6" fillId="0" borderId="1" xfId="2" applyFont="1" applyFill="1" applyBorder="1" applyAlignment="1" applyProtection="1">
      <alignment horizontal="center" vertical="center" wrapText="1"/>
    </xf>
    <xf numFmtId="41" fontId="6" fillId="0" borderId="1" xfId="2" applyFont="1" applyFill="1" applyBorder="1" applyAlignment="1">
      <alignment horizontal="right" vertical="center" wrapText="1"/>
    </xf>
    <xf numFmtId="3" fontId="6" fillId="0" borderId="1" xfId="0" applyNumberFormat="1" applyFont="1" applyFill="1" applyBorder="1" applyAlignment="1">
      <alignment horizontal="right" vertical="center"/>
    </xf>
    <xf numFmtId="3" fontId="6" fillId="0" borderId="1" xfId="0" applyNumberFormat="1" applyFont="1" applyFill="1" applyBorder="1" applyAlignment="1">
      <alignment horizontal="center" vertical="center"/>
    </xf>
    <xf numFmtId="0" fontId="10" fillId="2" borderId="13" xfId="0" applyFont="1" applyFill="1" applyBorder="1" applyAlignment="1">
      <alignment horizontal="center" vertical="center" wrapText="1"/>
    </xf>
    <xf numFmtId="0" fontId="0" fillId="0" borderId="1" xfId="0" applyBorder="1"/>
    <xf numFmtId="0" fontId="10" fillId="2" borderId="15" xfId="0" applyFont="1" applyFill="1" applyBorder="1" applyAlignment="1">
      <alignment horizontal="center" vertical="center" wrapText="1"/>
    </xf>
    <xf numFmtId="0" fontId="0" fillId="0" borderId="3" xfId="0" applyFont="1" applyBorder="1" applyAlignment="1">
      <alignment horizontal="center" vertical="center" wrapText="1"/>
    </xf>
    <xf numFmtId="0" fontId="0" fillId="0" borderId="16" xfId="0" applyFont="1" applyBorder="1" applyAlignment="1">
      <alignment horizontal="center" vertical="center" wrapText="1"/>
    </xf>
    <xf numFmtId="10" fontId="0" fillId="0" borderId="3" xfId="0" applyNumberFormat="1" applyBorder="1" applyAlignment="1">
      <alignment horizontal="center" vertical="center" wrapText="1"/>
    </xf>
    <xf numFmtId="165" fontId="0" fillId="0" borderId="3" xfId="0" applyNumberFormat="1" applyBorder="1" applyAlignment="1">
      <alignment horizontal="center" vertical="center" wrapText="1"/>
    </xf>
    <xf numFmtId="9" fontId="0" fillId="0" borderId="3" xfId="0" applyNumberFormat="1" applyBorder="1" applyAlignment="1">
      <alignment horizontal="center" vertical="center" wrapText="1"/>
    </xf>
    <xf numFmtId="164" fontId="0" fillId="0" borderId="3" xfId="0" applyNumberFormat="1" applyFont="1" applyBorder="1" applyAlignment="1">
      <alignment horizontal="center" vertical="center" wrapText="1"/>
    </xf>
    <xf numFmtId="3" fontId="0" fillId="0" borderId="3" xfId="0" applyNumberFormat="1" applyFont="1" applyBorder="1" applyAlignment="1">
      <alignment horizontal="center" vertical="center" wrapText="1"/>
    </xf>
    <xf numFmtId="0" fontId="0" fillId="0" borderId="17" xfId="0" applyFont="1" applyBorder="1" applyAlignment="1">
      <alignment horizontal="center" vertical="center" wrapText="1"/>
    </xf>
    <xf numFmtId="0" fontId="5" fillId="0" borderId="1" xfId="0" applyFont="1" applyFill="1" applyBorder="1" applyAlignment="1">
      <alignment horizontal="left" vertical="top" wrapText="1"/>
    </xf>
    <xf numFmtId="165" fontId="6" fillId="5" borderId="6" xfId="0" applyNumberFormat="1" applyFont="1" applyFill="1" applyBorder="1" applyAlignment="1">
      <alignment horizontal="right" vertical="center" wrapText="1"/>
    </xf>
    <xf numFmtId="0" fontId="10" fillId="2" borderId="0" xfId="0" applyFont="1" applyFill="1" applyBorder="1" applyAlignment="1">
      <alignment horizontal="center" vertical="center" wrapText="1"/>
    </xf>
    <xf numFmtId="0" fontId="14" fillId="0" borderId="1" xfId="0" applyFont="1" applyFill="1" applyBorder="1" applyAlignment="1">
      <alignment horizontal="center" vertical="center"/>
    </xf>
    <xf numFmtId="166" fontId="6" fillId="5" borderId="1" xfId="1" applyNumberFormat="1" applyFont="1" applyFill="1" applyBorder="1" applyAlignment="1">
      <alignment horizontal="center" vertical="center"/>
    </xf>
    <xf numFmtId="10" fontId="6" fillId="5" borderId="1" xfId="0" applyNumberFormat="1" applyFont="1" applyFill="1" applyBorder="1" applyAlignment="1">
      <alignment horizontal="right" vertical="center"/>
    </xf>
    <xf numFmtId="43" fontId="6" fillId="5" borderId="6" xfId="1" applyFont="1" applyFill="1" applyBorder="1" applyAlignment="1">
      <alignment horizontal="center" vertical="center" wrapText="1"/>
    </xf>
    <xf numFmtId="10" fontId="6" fillId="5" borderId="6" xfId="5" applyNumberFormat="1" applyFont="1" applyFill="1" applyBorder="1" applyAlignment="1">
      <alignment horizontal="center" vertical="center" wrapText="1"/>
    </xf>
    <xf numFmtId="9" fontId="14" fillId="0" borderId="1" xfId="4" applyNumberFormat="1" applyFont="1" applyFill="1" applyBorder="1" applyAlignment="1" applyProtection="1">
      <alignment horizontal="right" vertical="center" wrapText="1"/>
    </xf>
    <xf numFmtId="9" fontId="14" fillId="0" borderId="1" xfId="0" applyNumberFormat="1" applyFont="1" applyFill="1" applyBorder="1" applyAlignment="1">
      <alignment horizontal="center" vertical="center" wrapText="1"/>
    </xf>
    <xf numFmtId="9" fontId="14" fillId="0" borderId="1" xfId="0" applyNumberFormat="1" applyFont="1" applyFill="1" applyBorder="1" applyAlignment="1">
      <alignment horizontal="center" vertical="center"/>
    </xf>
    <xf numFmtId="10" fontId="14" fillId="0" borderId="1" xfId="0" applyNumberFormat="1" applyFont="1" applyFill="1" applyBorder="1" applyAlignment="1">
      <alignment horizontal="center" vertical="center"/>
    </xf>
    <xf numFmtId="10" fontId="14" fillId="0" borderId="1" xfId="5" applyNumberFormat="1" applyFont="1" applyFill="1" applyBorder="1" applyAlignment="1">
      <alignment horizontal="center" vertical="center"/>
    </xf>
    <xf numFmtId="10" fontId="14" fillId="0" borderId="1" xfId="5" applyNumberFormat="1" applyFont="1" applyFill="1" applyBorder="1" applyAlignment="1">
      <alignment horizontal="center" vertical="center" wrapText="1"/>
    </xf>
    <xf numFmtId="10" fontId="6" fillId="5" borderId="8" xfId="5" applyNumberFormat="1" applyFont="1" applyFill="1" applyBorder="1" applyAlignment="1">
      <alignment horizontal="right" vertical="center" wrapText="1"/>
    </xf>
    <xf numFmtId="43" fontId="6" fillId="5" borderId="1" xfId="1" applyFont="1" applyFill="1" applyBorder="1" applyAlignment="1">
      <alignment horizontal="right" vertical="center" wrapText="1"/>
    </xf>
    <xf numFmtId="41" fontId="6" fillId="0" borderId="1" xfId="0" applyNumberFormat="1" applyFont="1" applyFill="1" applyBorder="1" applyAlignment="1">
      <alignment horizontal="center" vertical="center"/>
    </xf>
    <xf numFmtId="9" fontId="0" fillId="0" borderId="0" xfId="0" applyNumberFormat="1"/>
    <xf numFmtId="10" fontId="14" fillId="0" borderId="1" xfId="5" applyNumberFormat="1" applyFont="1" applyFill="1" applyBorder="1" applyAlignment="1">
      <alignment horizontal="right" vertical="center" wrapText="1"/>
    </xf>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NumberFormat="1"/>
    <xf numFmtId="0" fontId="0" fillId="0" borderId="0" xfId="0" applyAlignment="1">
      <alignment horizontal="left" wrapText="1"/>
    </xf>
    <xf numFmtId="0" fontId="14" fillId="0" borderId="1" xfId="0" applyFont="1" applyFill="1" applyBorder="1" applyAlignment="1">
      <alignment horizontal="center" vertical="center" wrapText="1"/>
    </xf>
    <xf numFmtId="165" fontId="6" fillId="0" borderId="1" xfId="0" applyNumberFormat="1" applyFont="1" applyFill="1" applyBorder="1" applyAlignment="1">
      <alignment horizontal="center" vertical="center" wrapText="1"/>
    </xf>
    <xf numFmtId="0" fontId="4" fillId="2" borderId="13"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4" fillId="0" borderId="1" xfId="0" applyFont="1" applyFill="1" applyBorder="1" applyAlignment="1">
      <alignment horizontal="right"/>
    </xf>
    <xf numFmtId="166" fontId="6" fillId="0" borderId="1" xfId="1" applyNumberFormat="1" applyFont="1" applyFill="1" applyBorder="1" applyAlignment="1" applyProtection="1">
      <alignment horizontal="center" vertical="center" wrapText="1"/>
    </xf>
    <xf numFmtId="43" fontId="6" fillId="0" borderId="1" xfId="1" applyFont="1" applyFill="1" applyBorder="1" applyAlignment="1">
      <alignment horizontal="center" vertical="center" wrapText="1"/>
    </xf>
    <xf numFmtId="0" fontId="3" fillId="0" borderId="14" xfId="0" applyFont="1" applyFill="1" applyBorder="1" applyAlignment="1">
      <alignment horizontal="left" vertical="center" wrapText="1"/>
    </xf>
    <xf numFmtId="10" fontId="6" fillId="0" borderId="14" xfId="5" applyNumberFormat="1" applyFont="1" applyFill="1" applyBorder="1" applyAlignment="1">
      <alignment horizontal="right" vertical="center" wrapText="1"/>
    </xf>
    <xf numFmtId="10" fontId="6" fillId="5" borderId="14" xfId="5" applyNumberFormat="1" applyFont="1" applyFill="1" applyBorder="1" applyAlignment="1">
      <alignment horizontal="right" vertical="center" wrapText="1"/>
    </xf>
    <xf numFmtId="164" fontId="6" fillId="0" borderId="14" xfId="5" applyNumberFormat="1" applyFont="1" applyFill="1" applyBorder="1" applyAlignment="1">
      <alignment horizontal="right" vertical="center" wrapText="1"/>
    </xf>
    <xf numFmtId="0" fontId="0" fillId="0" borderId="11" xfId="0" applyBorder="1" applyAlignment="1">
      <alignment horizontal="center" vertical="center"/>
    </xf>
    <xf numFmtId="0" fontId="0" fillId="0" borderId="11" xfId="0" applyBorder="1" applyAlignment="1">
      <alignment horizontal="center" vertical="center" wrapText="1"/>
    </xf>
    <xf numFmtId="0" fontId="3" fillId="0" borderId="11" xfId="0" applyFont="1" applyFill="1" applyBorder="1" applyAlignment="1">
      <alignment horizontal="left" vertical="center" wrapText="1"/>
    </xf>
    <xf numFmtId="9" fontId="6" fillId="0" borderId="11" xfId="3" applyFont="1" applyFill="1" applyBorder="1" applyAlignment="1">
      <alignment horizontal="right" vertical="center"/>
    </xf>
    <xf numFmtId="164" fontId="6" fillId="0" borderId="11" xfId="5" applyNumberFormat="1" applyFont="1" applyFill="1" applyBorder="1" applyAlignment="1">
      <alignment horizontal="right" vertical="center" wrapText="1"/>
    </xf>
    <xf numFmtId="10" fontId="6" fillId="5" borderId="11" xfId="5" applyNumberFormat="1" applyFont="1" applyFill="1" applyBorder="1" applyAlignment="1">
      <alignment horizontal="right" vertical="center"/>
    </xf>
    <xf numFmtId="164" fontId="6" fillId="0" borderId="11" xfId="0" applyNumberFormat="1" applyFont="1" applyFill="1" applyBorder="1" applyAlignment="1">
      <alignment horizontal="right" vertical="center" wrapText="1"/>
    </xf>
    <xf numFmtId="10" fontId="6" fillId="0" borderId="11" xfId="0" applyNumberFormat="1" applyFont="1" applyFill="1" applyBorder="1" applyAlignment="1">
      <alignment horizontal="right" vertical="center" wrapText="1"/>
    </xf>
    <xf numFmtId="10" fontId="14" fillId="0" borderId="11" xfId="5" applyNumberFormat="1" applyFont="1" applyFill="1" applyBorder="1" applyAlignment="1">
      <alignment horizontal="center" vertical="center"/>
    </xf>
    <xf numFmtId="164" fontId="6" fillId="0" borderId="5" xfId="5" applyNumberFormat="1" applyFont="1" applyFill="1" applyBorder="1" applyAlignment="1">
      <alignment horizontal="right" vertical="center" wrapText="1"/>
    </xf>
    <xf numFmtId="164" fontId="6" fillId="0" borderId="7" xfId="5" applyNumberFormat="1" applyFont="1" applyFill="1" applyBorder="1" applyAlignment="1">
      <alignment horizontal="right" vertical="center" wrapText="1"/>
    </xf>
    <xf numFmtId="164" fontId="6" fillId="0" borderId="9" xfId="5" applyNumberFormat="1" applyFont="1" applyFill="1" applyBorder="1" applyAlignment="1">
      <alignment horizontal="right" vertical="center" wrapText="1"/>
    </xf>
    <xf numFmtId="10" fontId="6" fillId="0" borderId="6" xfId="5" applyNumberFormat="1" applyFont="1" applyFill="1" applyBorder="1" applyAlignment="1">
      <alignment horizontal="right" vertical="center"/>
    </xf>
    <xf numFmtId="49" fontId="6" fillId="0" borderId="7" xfId="5" applyNumberFormat="1" applyFont="1" applyFill="1" applyBorder="1" applyAlignment="1">
      <alignment horizontal="right" vertical="center" wrapText="1"/>
    </xf>
    <xf numFmtId="10" fontId="6" fillId="0" borderId="6" xfId="5" applyNumberFormat="1" applyFont="1" applyFill="1" applyBorder="1" applyAlignment="1">
      <alignment horizontal="center" vertical="center"/>
    </xf>
    <xf numFmtId="10" fontId="6" fillId="0" borderId="8" xfId="5" applyNumberFormat="1" applyFont="1" applyFill="1" applyBorder="1" applyAlignment="1">
      <alignment horizontal="right" vertical="center"/>
    </xf>
    <xf numFmtId="0" fontId="3" fillId="8" borderId="10" xfId="0" applyFont="1" applyFill="1" applyBorder="1" applyAlignment="1">
      <alignment horizontal="left" vertical="center" wrapText="1"/>
    </xf>
    <xf numFmtId="0" fontId="3" fillId="8" borderId="1" xfId="0" applyFont="1" applyFill="1" applyBorder="1" applyAlignment="1">
      <alignment horizontal="left" vertical="center" wrapText="1"/>
    </xf>
    <xf numFmtId="0" fontId="3" fillId="7" borderId="1" xfId="0" applyFont="1" applyFill="1" applyBorder="1" applyAlignment="1">
      <alignment horizontal="left" vertical="center" wrapText="1"/>
    </xf>
    <xf numFmtId="0" fontId="3" fillId="4" borderId="1" xfId="0" applyFont="1" applyFill="1" applyBorder="1" applyAlignment="1">
      <alignment horizontal="left" vertical="center" wrapText="1"/>
    </xf>
    <xf numFmtId="0" fontId="15" fillId="8" borderId="1" xfId="0" applyNumberFormat="1" applyFont="1" applyFill="1" applyBorder="1" applyAlignment="1">
      <alignment horizontal="left" vertical="top" wrapText="1" readingOrder="1"/>
    </xf>
    <xf numFmtId="0" fontId="3" fillId="9" borderId="1" xfId="0" applyFont="1" applyFill="1" applyBorder="1" applyAlignment="1">
      <alignment horizontal="left" vertical="center" wrapText="1"/>
    </xf>
    <xf numFmtId="0" fontId="3" fillId="6" borderId="1" xfId="0" applyFont="1" applyFill="1" applyBorder="1" applyAlignment="1">
      <alignment horizontal="left" vertical="center" wrapText="1"/>
    </xf>
    <xf numFmtId="0" fontId="5" fillId="6" borderId="1" xfId="0" applyFont="1" applyFill="1" applyBorder="1" applyAlignment="1">
      <alignment horizontal="left" vertical="center" wrapText="1"/>
    </xf>
    <xf numFmtId="0" fontId="5" fillId="9" borderId="1" xfId="0" applyFont="1" applyFill="1" applyBorder="1" applyAlignment="1">
      <alignment horizontal="left" vertical="center" wrapText="1"/>
    </xf>
    <xf numFmtId="0" fontId="5" fillId="10" borderId="1" xfId="0" applyFont="1" applyFill="1" applyBorder="1" applyAlignment="1">
      <alignment horizontal="left" vertical="center" wrapText="1"/>
    </xf>
    <xf numFmtId="0" fontId="0" fillId="0" borderId="0" xfId="0" applyAlignment="1">
      <alignment horizontal="left" wrapText="1" indent="1"/>
    </xf>
    <xf numFmtId="0" fontId="0" fillId="11" borderId="0" xfId="0" applyNumberFormat="1" applyFill="1"/>
    <xf numFmtId="0" fontId="0" fillId="0" borderId="0" xfId="0" applyAlignment="1">
      <alignment vertical="center"/>
    </xf>
    <xf numFmtId="0" fontId="0" fillId="0" borderId="0" xfId="0" applyAlignment="1">
      <alignment horizontal="center" vertical="center"/>
    </xf>
    <xf numFmtId="164" fontId="6" fillId="0" borderId="7" xfId="5" applyNumberFormat="1" applyFont="1" applyFill="1" applyBorder="1" applyAlignment="1">
      <alignment horizontal="center" vertical="center" wrapText="1"/>
    </xf>
    <xf numFmtId="166" fontId="6" fillId="5" borderId="1" xfId="1" applyNumberFormat="1" applyFont="1" applyFill="1" applyBorder="1" applyAlignment="1">
      <alignment horizontal="center" vertical="center" wrapText="1"/>
    </xf>
    <xf numFmtId="164" fontId="6" fillId="0" borderId="1" xfId="5" applyNumberFormat="1" applyFont="1" applyFill="1" applyBorder="1" applyAlignment="1">
      <alignment horizontal="center" vertical="center" wrapText="1"/>
    </xf>
    <xf numFmtId="9" fontId="6" fillId="0" borderId="1" xfId="3" applyNumberFormat="1" applyFont="1" applyFill="1" applyBorder="1" applyAlignment="1">
      <alignment horizontal="center" vertical="center"/>
    </xf>
    <xf numFmtId="10" fontId="19" fillId="5" borderId="1" xfId="5" applyNumberFormat="1" applyFont="1" applyFill="1" applyBorder="1" applyAlignment="1">
      <alignment horizontal="center" vertical="center"/>
    </xf>
    <xf numFmtId="9" fontId="19" fillId="5" borderId="1" xfId="5" applyNumberFormat="1" applyFont="1" applyFill="1" applyBorder="1" applyAlignment="1">
      <alignment horizontal="center" vertical="center"/>
    </xf>
    <xf numFmtId="41" fontId="9" fillId="0" borderId="0" xfId="0" applyNumberFormat="1" applyFont="1" applyBorder="1"/>
    <xf numFmtId="10" fontId="6" fillId="5" borderId="1" xfId="0" applyNumberFormat="1" applyFont="1" applyFill="1" applyBorder="1" applyAlignment="1">
      <alignment horizontal="center" vertical="center" wrapText="1"/>
    </xf>
    <xf numFmtId="10" fontId="6" fillId="5" borderId="6" xfId="5" applyNumberFormat="1" applyFont="1" applyFill="1" applyBorder="1" applyAlignment="1">
      <alignment horizontal="right" vertical="center"/>
    </xf>
    <xf numFmtId="10" fontId="6" fillId="5" borderId="6" xfId="5" applyNumberFormat="1" applyFont="1" applyFill="1" applyBorder="1" applyAlignment="1">
      <alignment horizontal="center" vertical="center"/>
    </xf>
    <xf numFmtId="0" fontId="0" fillId="0" borderId="1" xfId="0" applyBorder="1" applyAlignment="1">
      <alignment vertical="center" wrapText="1"/>
    </xf>
    <xf numFmtId="9" fontId="0" fillId="0" borderId="0" xfId="0" applyNumberFormat="1" applyFont="1"/>
    <xf numFmtId="10" fontId="0" fillId="0" borderId="0" xfId="5" applyNumberFormat="1" applyFont="1"/>
    <xf numFmtId="10" fontId="0" fillId="0" borderId="0" xfId="0" applyNumberFormat="1" applyFont="1"/>
    <xf numFmtId="10" fontId="6" fillId="0" borderId="16" xfId="5" applyNumberFormat="1" applyFont="1" applyFill="1" applyBorder="1" applyAlignment="1">
      <alignment horizontal="right" vertical="center" wrapText="1"/>
    </xf>
    <xf numFmtId="10" fontId="6" fillId="0" borderId="3" xfId="5" applyNumberFormat="1" applyFont="1" applyFill="1" applyBorder="1" applyAlignment="1">
      <alignment horizontal="right" vertical="center" wrapText="1"/>
    </xf>
    <xf numFmtId="10" fontId="6" fillId="0" borderId="3" xfId="0" applyNumberFormat="1" applyFont="1" applyFill="1" applyBorder="1" applyAlignment="1">
      <alignment horizontal="right" vertical="center" wrapText="1"/>
    </xf>
    <xf numFmtId="166" fontId="6" fillId="0" borderId="3" xfId="1" applyNumberFormat="1" applyFont="1" applyFill="1" applyBorder="1" applyAlignment="1">
      <alignment horizontal="right" vertical="center" wrapText="1"/>
    </xf>
    <xf numFmtId="166" fontId="6" fillId="0" borderId="3" xfId="1" applyNumberFormat="1" applyFont="1" applyFill="1" applyBorder="1" applyAlignment="1">
      <alignment horizontal="right" vertical="center"/>
    </xf>
    <xf numFmtId="166" fontId="6" fillId="0" borderId="20" xfId="1" applyNumberFormat="1" applyFont="1" applyFill="1" applyBorder="1" applyAlignment="1">
      <alignment horizontal="right" vertical="center"/>
    </xf>
    <xf numFmtId="3" fontId="21" fillId="0" borderId="1" xfId="0" applyNumberFormat="1" applyFont="1" applyFill="1" applyBorder="1" applyAlignment="1">
      <alignment horizontal="right" vertical="center" wrapText="1"/>
    </xf>
    <xf numFmtId="9" fontId="6" fillId="5" borderId="11" xfId="3" applyFont="1" applyFill="1" applyBorder="1" applyAlignment="1">
      <alignment horizontal="right" vertical="center"/>
    </xf>
    <xf numFmtId="166" fontId="6" fillId="0" borderId="20" xfId="1" applyNumberFormat="1" applyFont="1" applyFill="1" applyBorder="1" applyAlignment="1">
      <alignment horizontal="right" vertical="center" wrapText="1"/>
    </xf>
    <xf numFmtId="0" fontId="22" fillId="0" borderId="1" xfId="0" applyFont="1" applyFill="1" applyBorder="1" applyAlignment="1">
      <alignment horizontal="left" vertical="center" wrapText="1"/>
    </xf>
    <xf numFmtId="10" fontId="6" fillId="0" borderId="20" xfId="0" applyNumberFormat="1" applyFont="1" applyFill="1" applyBorder="1" applyAlignment="1">
      <alignment horizontal="right" vertical="center" wrapText="1"/>
    </xf>
    <xf numFmtId="10" fontId="6" fillId="0" borderId="20" xfId="5" applyNumberFormat="1" applyFont="1" applyFill="1" applyBorder="1" applyAlignment="1">
      <alignment horizontal="right" vertical="center" wrapText="1"/>
    </xf>
    <xf numFmtId="10" fontId="6" fillId="0" borderId="21" xfId="5" applyNumberFormat="1" applyFont="1" applyFill="1" applyBorder="1" applyAlignment="1">
      <alignment horizontal="right" vertical="center" wrapText="1"/>
    </xf>
    <xf numFmtId="9" fontId="6" fillId="0" borderId="20" xfId="0" applyNumberFormat="1" applyFont="1" applyFill="1" applyBorder="1" applyAlignment="1">
      <alignment horizontal="right" vertical="center" wrapText="1"/>
    </xf>
    <xf numFmtId="10" fontId="6" fillId="0" borderId="20" xfId="3" applyNumberFormat="1" applyFont="1" applyFill="1" applyBorder="1" applyAlignment="1">
      <alignment horizontal="right" vertical="center" wrapText="1"/>
    </xf>
    <xf numFmtId="166" fontId="6" fillId="0" borderId="20" xfId="1" applyNumberFormat="1" applyFont="1" applyFill="1" applyBorder="1" applyAlignment="1">
      <alignment horizontal="center" vertical="center"/>
    </xf>
    <xf numFmtId="0" fontId="0" fillId="0" borderId="1" xfId="0" applyBorder="1" applyAlignment="1">
      <alignment horizontal="left" vertical="center" wrapText="1"/>
    </xf>
    <xf numFmtId="9" fontId="6" fillId="0" borderId="20" xfId="3" applyFont="1" applyFill="1" applyBorder="1" applyAlignment="1">
      <alignment horizontal="right" vertical="center" wrapText="1"/>
    </xf>
    <xf numFmtId="9" fontId="6" fillId="0" borderId="20" xfId="3" applyFont="1" applyFill="1" applyBorder="1" applyAlignment="1">
      <alignment horizontal="center" vertical="center" wrapText="1"/>
    </xf>
    <xf numFmtId="10" fontId="6" fillId="0" borderId="20" xfId="0" applyNumberFormat="1" applyFont="1" applyFill="1" applyBorder="1" applyAlignment="1">
      <alignment horizontal="center" vertical="center" wrapText="1"/>
    </xf>
    <xf numFmtId="9" fontId="6" fillId="0" borderId="20" xfId="0" applyNumberFormat="1" applyFont="1" applyFill="1" applyBorder="1" applyAlignment="1">
      <alignment horizontal="right" vertical="center"/>
    </xf>
    <xf numFmtId="9" fontId="6" fillId="0" borderId="22" xfId="3" applyFont="1" applyFill="1" applyBorder="1" applyAlignment="1">
      <alignment horizontal="right" vertical="center"/>
    </xf>
    <xf numFmtId="0" fontId="0" fillId="0" borderId="8" xfId="0" applyFont="1" applyBorder="1" applyAlignment="1">
      <alignment horizontal="center" vertical="center"/>
    </xf>
    <xf numFmtId="1" fontId="6" fillId="0" borderId="3" xfId="0" applyNumberFormat="1" applyFont="1" applyFill="1" applyBorder="1" applyAlignment="1">
      <alignment horizontal="right" vertical="center" wrapText="1"/>
    </xf>
    <xf numFmtId="10" fontId="6" fillId="0" borderId="3" xfId="5" applyNumberFormat="1" applyFont="1" applyFill="1" applyBorder="1" applyAlignment="1">
      <alignment horizontal="right" vertical="center"/>
    </xf>
    <xf numFmtId="9" fontId="6" fillId="0" borderId="3" xfId="5" applyFont="1" applyFill="1" applyBorder="1" applyAlignment="1">
      <alignment horizontal="right" vertical="center" wrapText="1"/>
    </xf>
    <xf numFmtId="10" fontId="6" fillId="0" borderId="17" xfId="5" applyNumberFormat="1" applyFont="1" applyFill="1" applyBorder="1" applyAlignment="1">
      <alignment horizontal="right" vertical="center" wrapText="1"/>
    </xf>
    <xf numFmtId="10" fontId="19" fillId="12" borderId="1" xfId="5" applyNumberFormat="1" applyFont="1" applyFill="1" applyBorder="1" applyAlignment="1">
      <alignment horizontal="right" vertical="center" wrapText="1"/>
    </xf>
    <xf numFmtId="166" fontId="23" fillId="0" borderId="1" xfId="1" applyNumberFormat="1" applyFont="1" applyFill="1" applyBorder="1" applyAlignment="1">
      <alignment horizontal="right" vertical="center" wrapText="1"/>
    </xf>
    <xf numFmtId="10" fontId="23" fillId="0" borderId="1" xfId="5" applyNumberFormat="1" applyFont="1" applyFill="1" applyBorder="1" applyAlignment="1">
      <alignment horizontal="right" vertical="center" wrapText="1"/>
    </xf>
    <xf numFmtId="10" fontId="23" fillId="0" borderId="1" xfId="0" applyNumberFormat="1" applyFont="1" applyFill="1" applyBorder="1" applyAlignment="1">
      <alignment horizontal="right" vertical="center" wrapText="1"/>
    </xf>
    <xf numFmtId="9" fontId="23" fillId="0" borderId="1" xfId="0" applyNumberFormat="1" applyFont="1" applyFill="1" applyBorder="1" applyAlignment="1">
      <alignment horizontal="right" vertical="center" wrapText="1"/>
    </xf>
    <xf numFmtId="10" fontId="19" fillId="12" borderId="1" xfId="3" applyNumberFormat="1" applyFont="1" applyFill="1" applyBorder="1" applyAlignment="1">
      <alignment horizontal="right" vertical="center" wrapText="1"/>
    </xf>
    <xf numFmtId="166" fontId="19" fillId="12" borderId="1" xfId="1" applyNumberFormat="1" applyFont="1" applyFill="1" applyBorder="1" applyAlignment="1">
      <alignment horizontal="right" vertical="center" wrapText="1"/>
    </xf>
    <xf numFmtId="166" fontId="19" fillId="12" borderId="1" xfId="1" applyNumberFormat="1" applyFont="1" applyFill="1" applyBorder="1" applyAlignment="1">
      <alignment horizontal="center" vertical="center"/>
    </xf>
    <xf numFmtId="0" fontId="10" fillId="2" borderId="1"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0" fillId="0" borderId="6" xfId="0" applyBorder="1" applyAlignment="1">
      <alignment horizontal="center" vertical="center" wrapText="1"/>
    </xf>
    <xf numFmtId="0" fontId="0" fillId="0" borderId="6" xfId="0" applyFill="1" applyBorder="1" applyAlignment="1">
      <alignment horizontal="center" vertical="center" wrapText="1"/>
    </xf>
    <xf numFmtId="0" fontId="0" fillId="0" borderId="8" xfId="0" applyBorder="1" applyAlignment="1">
      <alignment horizontal="center" vertical="center" wrapText="1"/>
    </xf>
    <xf numFmtId="0" fontId="10" fillId="2" borderId="21" xfId="0" applyFont="1" applyFill="1" applyBorder="1" applyAlignment="1">
      <alignment horizontal="center" vertical="center" wrapText="1"/>
    </xf>
    <xf numFmtId="41" fontId="6" fillId="0" borderId="20" xfId="2" applyNumberFormat="1" applyFont="1" applyFill="1" applyBorder="1" applyAlignment="1">
      <alignment horizontal="right" vertical="center" wrapText="1"/>
    </xf>
    <xf numFmtId="10" fontId="19" fillId="12" borderId="20" xfId="5" applyNumberFormat="1" applyFont="1" applyFill="1" applyBorder="1" applyAlignment="1">
      <alignment horizontal="right" vertical="center" wrapText="1"/>
    </xf>
    <xf numFmtId="41" fontId="19" fillId="12" borderId="20" xfId="2" applyNumberFormat="1" applyFont="1" applyFill="1" applyBorder="1" applyAlignment="1">
      <alignment horizontal="right" vertical="center" wrapText="1"/>
    </xf>
    <xf numFmtId="10" fontId="23" fillId="0" borderId="20" xfId="5" applyNumberFormat="1" applyFont="1" applyFill="1" applyBorder="1" applyAlignment="1">
      <alignment horizontal="right" vertical="center" wrapText="1"/>
    </xf>
    <xf numFmtId="41" fontId="23" fillId="0" borderId="20" xfId="2" applyNumberFormat="1" applyFont="1" applyFill="1" applyBorder="1" applyAlignment="1">
      <alignment horizontal="right" vertical="center" wrapText="1"/>
    </xf>
    <xf numFmtId="167" fontId="6" fillId="0" borderId="20" xfId="2" applyNumberFormat="1" applyFont="1" applyFill="1" applyBorder="1" applyAlignment="1">
      <alignment horizontal="right" vertical="center" wrapText="1"/>
    </xf>
    <xf numFmtId="167" fontId="19" fillId="12" borderId="20" xfId="2" applyNumberFormat="1" applyFont="1" applyFill="1" applyBorder="1" applyAlignment="1">
      <alignment horizontal="right" vertical="center" wrapText="1"/>
    </xf>
    <xf numFmtId="10" fontId="6" fillId="0" borderId="22" xfId="5" applyNumberFormat="1" applyFont="1" applyFill="1" applyBorder="1" applyAlignment="1">
      <alignment horizontal="right" vertical="center" wrapText="1"/>
    </xf>
    <xf numFmtId="0" fontId="10" fillId="2" borderId="6" xfId="0" applyFont="1" applyFill="1" applyBorder="1" applyAlignment="1">
      <alignment horizontal="center" vertical="center" wrapText="1"/>
    </xf>
    <xf numFmtId="0" fontId="10" fillId="2" borderId="7" xfId="0" applyFont="1" applyFill="1" applyBorder="1" applyAlignment="1">
      <alignment horizontal="center" vertical="center" wrapText="1"/>
    </xf>
    <xf numFmtId="10" fontId="19" fillId="12" borderId="6" xfId="5" applyNumberFormat="1" applyFont="1" applyFill="1" applyBorder="1" applyAlignment="1">
      <alignment horizontal="right" vertical="center" wrapText="1"/>
    </xf>
    <xf numFmtId="166" fontId="19" fillId="12" borderId="6" xfId="1" applyNumberFormat="1" applyFont="1" applyFill="1" applyBorder="1" applyAlignment="1">
      <alignment horizontal="right" vertical="center" wrapText="1"/>
    </xf>
    <xf numFmtId="43" fontId="19" fillId="12" borderId="6" xfId="1" applyFont="1" applyFill="1" applyBorder="1" applyAlignment="1">
      <alignment horizontal="right" vertical="center" wrapText="1"/>
    </xf>
    <xf numFmtId="166" fontId="19" fillId="12" borderId="6" xfId="1" applyNumberFormat="1" applyFont="1" applyFill="1" applyBorder="1" applyAlignment="1">
      <alignment horizontal="center" vertical="center" wrapText="1"/>
    </xf>
    <xf numFmtId="166" fontId="23" fillId="12" borderId="6" xfId="1" applyNumberFormat="1" applyFont="1" applyFill="1" applyBorder="1" applyAlignment="1">
      <alignment horizontal="right" vertical="center" wrapText="1"/>
    </xf>
    <xf numFmtId="9" fontId="19" fillId="12" borderId="6" xfId="5" applyFont="1" applyFill="1" applyBorder="1" applyAlignment="1">
      <alignment horizontal="center" vertical="center" wrapText="1"/>
    </xf>
    <xf numFmtId="0" fontId="22" fillId="3" borderId="1" xfId="0" applyFont="1" applyFill="1" applyBorder="1" applyAlignment="1">
      <alignment horizontal="left" vertical="top" wrapText="1"/>
    </xf>
    <xf numFmtId="0" fontId="22" fillId="3" borderId="1" xfId="0" applyFont="1" applyFill="1" applyBorder="1" applyAlignment="1">
      <alignment horizontal="left" vertical="center" wrapText="1"/>
    </xf>
    <xf numFmtId="0" fontId="20" fillId="3" borderId="1" xfId="0" applyFont="1" applyFill="1" applyBorder="1" applyAlignment="1">
      <alignment horizontal="left" vertical="top" wrapText="1"/>
    </xf>
    <xf numFmtId="0" fontId="20" fillId="3" borderId="1" xfId="0" applyFont="1" applyFill="1" applyBorder="1" applyAlignment="1">
      <alignment horizontal="left" vertical="center" wrapText="1"/>
    </xf>
    <xf numFmtId="10" fontId="6" fillId="5" borderId="3" xfId="1" applyNumberFormat="1" applyFont="1" applyFill="1" applyBorder="1" applyAlignment="1">
      <alignment horizontal="right" vertical="center" wrapText="1"/>
    </xf>
    <xf numFmtId="10" fontId="19" fillId="12" borderId="3" xfId="5" applyNumberFormat="1" applyFont="1" applyFill="1" applyBorder="1" applyAlignment="1">
      <alignment horizontal="right" vertical="center" wrapText="1"/>
    </xf>
    <xf numFmtId="166" fontId="19" fillId="12" borderId="3" xfId="1" applyNumberFormat="1" applyFont="1" applyFill="1" applyBorder="1" applyAlignment="1">
      <alignment horizontal="right" vertical="center"/>
    </xf>
    <xf numFmtId="166" fontId="19" fillId="12" borderId="3" xfId="1" applyNumberFormat="1" applyFont="1" applyFill="1" applyBorder="1" applyAlignment="1">
      <alignment horizontal="center" vertical="center" wrapText="1"/>
    </xf>
    <xf numFmtId="9" fontId="6" fillId="5" borderId="6" xfId="5" applyNumberFormat="1" applyFont="1" applyFill="1" applyBorder="1" applyAlignment="1">
      <alignment horizontal="right" vertical="center" wrapText="1"/>
    </xf>
    <xf numFmtId="9" fontId="6" fillId="5" borderId="6" xfId="5" applyNumberFormat="1" applyFont="1" applyFill="1" applyBorder="1" applyAlignment="1">
      <alignment horizontal="center" vertical="center" wrapText="1"/>
    </xf>
    <xf numFmtId="9" fontId="6" fillId="0" borderId="3" xfId="5" applyNumberFormat="1" applyFont="1" applyFill="1" applyBorder="1" applyAlignment="1">
      <alignment horizontal="right" vertical="center"/>
    </xf>
    <xf numFmtId="9" fontId="6" fillId="0" borderId="3" xfId="5" applyNumberFormat="1" applyFont="1" applyFill="1" applyBorder="1" applyAlignment="1">
      <alignment horizontal="right" vertical="center" wrapText="1"/>
    </xf>
    <xf numFmtId="9" fontId="6" fillId="5" borderId="1" xfId="5" applyNumberFormat="1" applyFont="1" applyFill="1" applyBorder="1" applyAlignment="1">
      <alignment horizontal="center" vertical="center"/>
    </xf>
    <xf numFmtId="10" fontId="6" fillId="5" borderId="14" xfId="5" applyNumberFormat="1" applyFont="1" applyFill="1" applyBorder="1" applyAlignment="1">
      <alignment horizontal="center" vertical="center" wrapText="1"/>
    </xf>
    <xf numFmtId="10" fontId="6" fillId="5" borderId="1" xfId="5" applyNumberFormat="1" applyFont="1" applyFill="1" applyBorder="1" applyAlignment="1">
      <alignment horizontal="center" vertical="center" wrapText="1"/>
    </xf>
    <xf numFmtId="10" fontId="6" fillId="5" borderId="1" xfId="0" applyNumberFormat="1" applyFont="1" applyFill="1" applyBorder="1" applyAlignment="1">
      <alignment horizontal="center" vertical="center"/>
    </xf>
    <xf numFmtId="1" fontId="6" fillId="5" borderId="1" xfId="0" applyNumberFormat="1" applyFont="1" applyFill="1" applyBorder="1" applyAlignment="1">
      <alignment horizontal="center" vertical="center" wrapText="1"/>
    </xf>
    <xf numFmtId="41" fontId="6" fillId="5" borderId="1" xfId="2" applyFont="1" applyFill="1" applyBorder="1" applyAlignment="1">
      <alignment horizontal="center" vertical="center" wrapText="1"/>
    </xf>
    <xf numFmtId="10" fontId="6" fillId="5" borderId="11" xfId="5" applyNumberFormat="1" applyFont="1" applyFill="1" applyBorder="1" applyAlignment="1">
      <alignment horizontal="center" vertical="center"/>
    </xf>
    <xf numFmtId="0" fontId="0" fillId="0" borderId="0" xfId="0" applyFont="1" applyAlignment="1">
      <alignment horizontal="center" vertical="center"/>
    </xf>
    <xf numFmtId="166" fontId="19" fillId="12" borderId="6" xfId="1" applyNumberFormat="1" applyFont="1" applyFill="1" applyBorder="1" applyAlignment="1">
      <alignment horizontal="right" vertical="center"/>
    </xf>
    <xf numFmtId="166" fontId="19" fillId="12" borderId="6" xfId="1" applyNumberFormat="1" applyFont="1" applyFill="1" applyBorder="1" applyAlignment="1">
      <alignment horizontal="center" vertical="center"/>
    </xf>
    <xf numFmtId="10" fontId="19" fillId="12" borderId="1" xfId="0" applyNumberFormat="1" applyFont="1" applyFill="1" applyBorder="1" applyAlignment="1">
      <alignment horizontal="right" vertical="center" wrapText="1"/>
    </xf>
    <xf numFmtId="166" fontId="19" fillId="12" borderId="1" xfId="1" applyNumberFormat="1" applyFont="1" applyFill="1" applyBorder="1" applyAlignment="1">
      <alignment horizontal="right" vertical="center"/>
    </xf>
    <xf numFmtId="9" fontId="6" fillId="5" borderId="1" xfId="5" applyFont="1" applyFill="1" applyBorder="1" applyAlignment="1">
      <alignment horizontal="right" vertical="center" wrapText="1"/>
    </xf>
    <xf numFmtId="9" fontId="6" fillId="5" borderId="1" xfId="3" applyFont="1" applyFill="1" applyBorder="1" applyAlignment="1">
      <alignment horizontal="right" vertical="center" wrapText="1"/>
    </xf>
    <xf numFmtId="9" fontId="6" fillId="5" borderId="1" xfId="0" applyNumberFormat="1" applyFont="1" applyFill="1" applyBorder="1" applyAlignment="1">
      <alignment horizontal="right" vertical="center" wrapText="1"/>
    </xf>
    <xf numFmtId="10" fontId="6" fillId="5" borderId="1" xfId="3" applyNumberFormat="1" applyFont="1" applyFill="1" applyBorder="1" applyAlignment="1">
      <alignment horizontal="right" vertical="center" wrapText="1"/>
    </xf>
    <xf numFmtId="9" fontId="6" fillId="5" borderId="1" xfId="3" applyFont="1" applyFill="1" applyBorder="1" applyAlignment="1">
      <alignment horizontal="center" vertical="center" wrapText="1"/>
    </xf>
    <xf numFmtId="9" fontId="6" fillId="5" borderId="1" xfId="0" applyNumberFormat="1" applyFont="1" applyFill="1" applyBorder="1" applyAlignment="1">
      <alignment horizontal="right" vertical="center"/>
    </xf>
    <xf numFmtId="10" fontId="6" fillId="0" borderId="25" xfId="5" applyNumberFormat="1" applyFont="1" applyFill="1" applyBorder="1" applyAlignment="1">
      <alignment horizontal="right" vertical="center" wrapText="1"/>
    </xf>
    <xf numFmtId="9" fontId="6" fillId="0" borderId="18" xfId="3" applyFont="1" applyFill="1" applyBorder="1" applyAlignment="1">
      <alignment horizontal="right" vertical="center"/>
    </xf>
    <xf numFmtId="0" fontId="0" fillId="13" borderId="6" xfId="0" applyFill="1" applyBorder="1" applyAlignment="1">
      <alignment horizontal="center" vertical="center" wrapText="1"/>
    </xf>
    <xf numFmtId="10" fontId="6" fillId="0" borderId="7" xfId="5" applyNumberFormat="1" applyFont="1" applyFill="1" applyBorder="1" applyAlignment="1">
      <alignment horizontal="right" vertical="center" wrapText="1"/>
    </xf>
    <xf numFmtId="0" fontId="10" fillId="2" borderId="26" xfId="0" applyFont="1" applyFill="1" applyBorder="1" applyAlignment="1">
      <alignment horizontal="center" vertical="center" wrapText="1"/>
    </xf>
    <xf numFmtId="10" fontId="0" fillId="0" borderId="16" xfId="0" applyNumberFormat="1" applyBorder="1" applyAlignment="1">
      <alignment horizontal="center" vertical="center"/>
    </xf>
    <xf numFmtId="10" fontId="0" fillId="0" borderId="3" xfId="0" applyNumberFormat="1" applyBorder="1" applyAlignment="1">
      <alignment horizontal="center" vertical="center"/>
    </xf>
    <xf numFmtId="10" fontId="0" fillId="0" borderId="3" xfId="0" applyNumberFormat="1" applyFill="1" applyBorder="1" applyAlignment="1">
      <alignment horizontal="center" vertical="center"/>
    </xf>
    <xf numFmtId="166" fontId="0" fillId="0" borderId="3" xfId="1" applyNumberFormat="1" applyFont="1" applyFill="1" applyBorder="1" applyAlignment="1">
      <alignment horizontal="center" vertical="center"/>
    </xf>
    <xf numFmtId="166" fontId="0" fillId="0" borderId="3" xfId="1" applyNumberFormat="1" applyFont="1" applyBorder="1" applyAlignment="1">
      <alignment horizontal="center" vertical="center"/>
    </xf>
    <xf numFmtId="10" fontId="17" fillId="12" borderId="3" xfId="0" applyNumberFormat="1" applyFont="1" applyFill="1" applyBorder="1" applyAlignment="1">
      <alignment horizontal="center" vertical="center"/>
    </xf>
    <xf numFmtId="166" fontId="17" fillId="12" borderId="3" xfId="1" applyNumberFormat="1" applyFont="1" applyFill="1" applyBorder="1" applyAlignment="1">
      <alignment horizontal="center" vertical="center"/>
    </xf>
    <xf numFmtId="166" fontId="0" fillId="0" borderId="3" xfId="0" applyNumberFormat="1" applyBorder="1" applyAlignment="1">
      <alignment horizontal="center" vertical="center"/>
    </xf>
    <xf numFmtId="9" fontId="0" fillId="0" borderId="3" xfId="0" applyNumberFormat="1" applyBorder="1" applyAlignment="1">
      <alignment vertical="center"/>
    </xf>
    <xf numFmtId="9" fontId="0" fillId="0" borderId="3" xfId="0" applyNumberFormat="1" applyBorder="1" applyAlignment="1">
      <alignment horizontal="center" vertical="center"/>
    </xf>
    <xf numFmtId="10" fontId="0" fillId="0" borderId="3" xfId="5" applyNumberFormat="1" applyFont="1" applyBorder="1" applyAlignment="1">
      <alignment horizontal="center" vertical="center"/>
    </xf>
    <xf numFmtId="166" fontId="0" fillId="0" borderId="3" xfId="1" applyNumberFormat="1" applyFont="1" applyBorder="1" applyAlignment="1">
      <alignment vertical="center"/>
    </xf>
    <xf numFmtId="41" fontId="0" fillId="0" borderId="3" xfId="2" applyFont="1" applyBorder="1" applyAlignment="1">
      <alignment horizontal="center" vertical="center"/>
    </xf>
    <xf numFmtId="0" fontId="0" fillId="0" borderId="3" xfId="0" applyBorder="1" applyAlignment="1">
      <alignment horizontal="center" vertical="center"/>
    </xf>
    <xf numFmtId="166" fontId="0" fillId="12" borderId="3" xfId="1" applyNumberFormat="1" applyFont="1" applyFill="1" applyBorder="1" applyAlignment="1">
      <alignment horizontal="center" vertical="center"/>
    </xf>
    <xf numFmtId="9" fontId="0" fillId="5" borderId="3" xfId="0" applyNumberFormat="1" applyFill="1" applyBorder="1" applyAlignment="1">
      <alignment vertical="center"/>
    </xf>
    <xf numFmtId="10" fontId="0" fillId="5" borderId="3" xfId="0" applyNumberFormat="1" applyFill="1" applyBorder="1" applyAlignment="1">
      <alignment horizontal="center" vertical="center"/>
    </xf>
    <xf numFmtId="10" fontId="0" fillId="0" borderId="17" xfId="0" applyNumberFormat="1" applyBorder="1" applyAlignment="1">
      <alignment horizontal="center" vertical="center"/>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5" fillId="0" borderId="7" xfId="0" applyFont="1" applyFill="1" applyBorder="1" applyAlignment="1" applyProtection="1">
      <alignment horizontal="center" vertical="center" wrapText="1"/>
    </xf>
    <xf numFmtId="0" fontId="5" fillId="3" borderId="7" xfId="0"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18" fillId="0" borderId="7" xfId="0" applyFont="1" applyBorder="1" applyAlignment="1">
      <alignment horizontal="center" vertical="center" wrapText="1"/>
    </xf>
    <xf numFmtId="0" fontId="0" fillId="0" borderId="9" xfId="0" applyBorder="1" applyAlignment="1">
      <alignment horizontal="center" vertical="center" wrapText="1"/>
    </xf>
    <xf numFmtId="0" fontId="10" fillId="2" borderId="27" xfId="0" applyFont="1" applyFill="1" applyBorder="1" applyAlignment="1">
      <alignment horizontal="center" vertical="center" wrapText="1"/>
    </xf>
    <xf numFmtId="10" fontId="6" fillId="0" borderId="23" xfId="5" applyNumberFormat="1" applyFont="1" applyFill="1" applyBorder="1" applyAlignment="1">
      <alignment horizontal="right" vertical="center" wrapText="1"/>
    </xf>
    <xf numFmtId="10" fontId="6" fillId="5" borderId="10" xfId="5" applyNumberFormat="1" applyFont="1" applyFill="1" applyBorder="1" applyAlignment="1">
      <alignment horizontal="right" vertical="center" wrapText="1"/>
    </xf>
    <xf numFmtId="10" fontId="14" fillId="0" borderId="10" xfId="5" applyNumberFormat="1" applyFont="1" applyFill="1" applyBorder="1" applyAlignment="1">
      <alignment horizontal="center" vertical="center"/>
    </xf>
    <xf numFmtId="10" fontId="6" fillId="0" borderId="10" xfId="0" applyNumberFormat="1" applyFont="1" applyFill="1" applyBorder="1" applyAlignment="1">
      <alignment horizontal="center" vertical="center"/>
    </xf>
    <xf numFmtId="164" fontId="6" fillId="0" borderId="10" xfId="5" applyNumberFormat="1" applyFont="1" applyFill="1" applyBorder="1" applyAlignment="1">
      <alignment horizontal="right" vertical="center" wrapText="1"/>
    </xf>
    <xf numFmtId="164" fontId="6" fillId="0" borderId="24" xfId="5" applyNumberFormat="1" applyFont="1" applyFill="1" applyBorder="1" applyAlignment="1">
      <alignment horizontal="right" vertical="center" wrapText="1"/>
    </xf>
    <xf numFmtId="0" fontId="10" fillId="2" borderId="8"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22" fillId="14" borderId="11" xfId="0" applyFont="1" applyFill="1" applyBorder="1" applyAlignment="1">
      <alignment horizontal="left" vertical="center" wrapText="1"/>
    </xf>
    <xf numFmtId="0" fontId="0" fillId="0" borderId="6" xfId="0" applyFont="1" applyBorder="1" applyAlignment="1">
      <alignment horizontal="center" vertical="center"/>
    </xf>
    <xf numFmtId="10" fontId="19" fillId="5" borderId="1" xfId="3" applyNumberFormat="1" applyFont="1" applyFill="1" applyBorder="1" applyAlignment="1">
      <alignment horizontal="right" vertical="center" wrapText="1"/>
    </xf>
    <xf numFmtId="10" fontId="19" fillId="0" borderId="1" xfId="3" applyNumberFormat="1" applyFont="1" applyFill="1" applyBorder="1" applyAlignment="1">
      <alignment horizontal="right" vertical="center" wrapText="1"/>
    </xf>
    <xf numFmtId="0" fontId="0" fillId="0" borderId="0" xfId="0" applyFont="1" applyFill="1" applyBorder="1"/>
    <xf numFmtId="10" fontId="6" fillId="0" borderId="1" xfId="0" applyNumberFormat="1" applyFont="1" applyFill="1" applyBorder="1" applyAlignment="1" applyProtection="1">
      <alignment horizontal="right" vertical="center" wrapText="1"/>
    </xf>
    <xf numFmtId="166" fontId="0" fillId="0" borderId="0" xfId="0" applyNumberFormat="1" applyFont="1"/>
    <xf numFmtId="41" fontId="0" fillId="0" borderId="0" xfId="0" applyNumberFormat="1" applyFont="1"/>
    <xf numFmtId="41" fontId="6" fillId="15" borderId="1" xfId="2" applyFont="1" applyFill="1" applyBorder="1" applyAlignment="1">
      <alignment horizontal="right" vertical="center"/>
    </xf>
    <xf numFmtId="41" fontId="6" fillId="15" borderId="1" xfId="2" applyFont="1" applyFill="1" applyBorder="1" applyAlignment="1">
      <alignment horizontal="center" vertical="center"/>
    </xf>
    <xf numFmtId="10" fontId="19" fillId="0" borderId="20" xfId="3" applyNumberFormat="1" applyFont="1" applyFill="1" applyBorder="1" applyAlignment="1">
      <alignment horizontal="right" vertical="center" wrapText="1"/>
    </xf>
    <xf numFmtId="9" fontId="6" fillId="0" borderId="20" xfId="5" applyFont="1" applyFill="1" applyBorder="1" applyAlignment="1">
      <alignment horizontal="right" vertical="center" wrapText="1"/>
    </xf>
    <xf numFmtId="0" fontId="0" fillId="15" borderId="3" xfId="0" applyFont="1" applyFill="1" applyBorder="1" applyAlignment="1">
      <alignment horizontal="center" vertical="center" wrapText="1"/>
    </xf>
    <xf numFmtId="166" fontId="6" fillId="15" borderId="20" xfId="1" applyNumberFormat="1" applyFont="1" applyFill="1" applyBorder="1" applyAlignment="1">
      <alignment horizontal="right" vertical="center" wrapText="1"/>
    </xf>
    <xf numFmtId="10" fontId="6" fillId="15" borderId="20" xfId="0" applyNumberFormat="1" applyFont="1" applyFill="1" applyBorder="1" applyAlignment="1">
      <alignment horizontal="right" vertical="center" wrapText="1"/>
    </xf>
    <xf numFmtId="10" fontId="6" fillId="15" borderId="1" xfId="5" applyNumberFormat="1" applyFont="1" applyFill="1" applyBorder="1" applyAlignment="1">
      <alignment horizontal="center" vertical="center" wrapText="1"/>
    </xf>
    <xf numFmtId="10" fontId="6" fillId="15" borderId="1" xfId="3" applyNumberFormat="1" applyFont="1" applyFill="1" applyBorder="1" applyAlignment="1">
      <alignment horizontal="right" vertical="center" wrapText="1"/>
    </xf>
    <xf numFmtId="165" fontId="6" fillId="15" borderId="1" xfId="1" applyNumberFormat="1" applyFont="1" applyFill="1" applyBorder="1" applyAlignment="1">
      <alignment horizontal="right" vertical="center" wrapText="1"/>
    </xf>
    <xf numFmtId="3" fontId="6" fillId="15" borderId="1" xfId="0" applyNumberFormat="1" applyFont="1" applyFill="1" applyBorder="1" applyAlignment="1">
      <alignment horizontal="center" vertical="center"/>
    </xf>
    <xf numFmtId="10" fontId="14" fillId="15" borderId="1" xfId="5" applyNumberFormat="1" applyFont="1" applyFill="1" applyBorder="1" applyAlignment="1">
      <alignment horizontal="center" vertical="center"/>
    </xf>
    <xf numFmtId="10" fontId="14" fillId="15" borderId="1" xfId="5" applyNumberFormat="1" applyFont="1" applyFill="1" applyBorder="1" applyAlignment="1">
      <alignment horizontal="center" vertical="center" wrapText="1"/>
    </xf>
    <xf numFmtId="41" fontId="14" fillId="0" borderId="10" xfId="2" applyFont="1" applyFill="1" applyBorder="1" applyAlignment="1">
      <alignment horizontal="center" vertical="center"/>
    </xf>
    <xf numFmtId="10" fontId="6" fillId="0" borderId="10" xfId="5" applyNumberFormat="1" applyFont="1" applyFill="1" applyBorder="1" applyAlignment="1">
      <alignment horizontal="center" vertical="center"/>
    </xf>
    <xf numFmtId="41" fontId="14" fillId="0" borderId="1" xfId="2" applyFont="1" applyFill="1" applyBorder="1" applyAlignment="1" applyProtection="1">
      <alignment horizontal="center" vertical="center" wrapText="1"/>
    </xf>
    <xf numFmtId="1" fontId="14" fillId="0" borderId="1" xfId="0" applyNumberFormat="1" applyFont="1" applyFill="1" applyBorder="1" applyAlignment="1">
      <alignment horizontal="center" vertical="center"/>
    </xf>
    <xf numFmtId="10" fontId="6" fillId="0" borderId="10" xfId="2" applyNumberFormat="1" applyFont="1" applyFill="1" applyBorder="1" applyAlignment="1">
      <alignment horizontal="center" vertical="center"/>
    </xf>
    <xf numFmtId="3" fontId="14" fillId="0" borderId="1" xfId="0" applyNumberFormat="1" applyFont="1" applyFill="1" applyBorder="1" applyAlignment="1">
      <alignment horizontal="center" vertical="center"/>
    </xf>
    <xf numFmtId="10" fontId="14" fillId="15" borderId="1" xfId="5" applyNumberFormat="1" applyFont="1" applyFill="1" applyBorder="1" applyAlignment="1" applyProtection="1">
      <alignment horizontal="center" vertical="center" wrapText="1"/>
    </xf>
    <xf numFmtId="166" fontId="6" fillId="15" borderId="1" xfId="1" applyNumberFormat="1" applyFont="1" applyFill="1" applyBorder="1" applyAlignment="1">
      <alignment horizontal="center" vertical="center" wrapText="1"/>
    </xf>
    <xf numFmtId="0" fontId="14" fillId="15" borderId="1" xfId="0" applyFont="1" applyFill="1" applyBorder="1" applyAlignment="1">
      <alignment horizontal="center" vertical="center" wrapText="1"/>
    </xf>
    <xf numFmtId="41" fontId="14" fillId="0" borderId="1" xfId="0" applyNumberFormat="1" applyFont="1" applyFill="1" applyBorder="1" applyAlignment="1">
      <alignment horizontal="center" vertical="center" wrapText="1"/>
    </xf>
    <xf numFmtId="41" fontId="6" fillId="15" borderId="1" xfId="2" applyFont="1" applyFill="1" applyBorder="1" applyAlignment="1" applyProtection="1">
      <alignment horizontal="center" vertical="center" wrapText="1"/>
    </xf>
    <xf numFmtId="10" fontId="6" fillId="15" borderId="1" xfId="0" applyNumberFormat="1" applyFont="1" applyFill="1" applyBorder="1" applyAlignment="1">
      <alignment horizontal="right" vertical="center" wrapText="1"/>
    </xf>
    <xf numFmtId="10" fontId="6" fillId="15" borderId="1" xfId="5" applyNumberFormat="1" applyFont="1" applyFill="1" applyBorder="1" applyAlignment="1" applyProtection="1">
      <alignment horizontal="center" vertical="center" wrapText="1"/>
    </xf>
    <xf numFmtId="166" fontId="14" fillId="0" borderId="1" xfId="0" applyNumberFormat="1" applyFont="1" applyFill="1" applyBorder="1" applyAlignment="1">
      <alignment horizontal="center" vertical="center"/>
    </xf>
    <xf numFmtId="165" fontId="14" fillId="0" borderId="1" xfId="0" applyNumberFormat="1" applyFont="1" applyFill="1" applyBorder="1" applyAlignment="1">
      <alignment horizontal="center" vertical="center" wrapText="1"/>
    </xf>
    <xf numFmtId="41" fontId="26" fillId="15" borderId="1" xfId="2" applyFont="1" applyFill="1" applyBorder="1" applyAlignment="1" applyProtection="1">
      <alignment horizontal="center" vertical="center" wrapText="1"/>
    </xf>
    <xf numFmtId="41" fontId="26" fillId="0" borderId="1" xfId="2" applyFont="1" applyFill="1" applyBorder="1" applyAlignment="1" applyProtection="1">
      <alignment horizontal="center" vertical="center" wrapText="1"/>
    </xf>
    <xf numFmtId="10" fontId="6" fillId="15" borderId="10" xfId="5" applyNumberFormat="1" applyFont="1" applyFill="1" applyBorder="1" applyAlignment="1">
      <alignment horizontal="center" vertical="center"/>
    </xf>
    <xf numFmtId="10" fontId="6" fillId="15" borderId="1" xfId="5" applyNumberFormat="1" applyFont="1" applyFill="1" applyBorder="1" applyAlignment="1">
      <alignment horizontal="center" vertical="center"/>
    </xf>
    <xf numFmtId="2" fontId="6" fillId="15" borderId="1" xfId="3" applyNumberFormat="1" applyFont="1" applyFill="1" applyBorder="1" applyAlignment="1" applyProtection="1">
      <alignment horizontal="center" vertical="center" wrapText="1"/>
    </xf>
    <xf numFmtId="166" fontId="6" fillId="15" borderId="1" xfId="1" applyNumberFormat="1" applyFont="1" applyFill="1" applyBorder="1" applyAlignment="1" applyProtection="1">
      <alignment horizontal="center" vertical="center" wrapText="1"/>
    </xf>
    <xf numFmtId="41" fontId="6" fillId="15" borderId="1" xfId="0" applyNumberFormat="1" applyFont="1" applyFill="1" applyBorder="1" applyAlignment="1">
      <alignment horizontal="center" vertical="center"/>
    </xf>
    <xf numFmtId="0" fontId="6" fillId="15" borderId="1" xfId="0" applyFont="1" applyFill="1" applyBorder="1" applyAlignment="1">
      <alignment horizontal="center" vertical="center" wrapText="1"/>
    </xf>
    <xf numFmtId="10" fontId="18" fillId="0" borderId="1" xfId="5" applyNumberFormat="1" applyFont="1" applyFill="1" applyBorder="1" applyAlignment="1">
      <alignment horizontal="center" vertical="center"/>
    </xf>
    <xf numFmtId="166" fontId="19" fillId="5" borderId="1" xfId="1" applyNumberFormat="1" applyFont="1" applyFill="1" applyBorder="1" applyAlignment="1">
      <alignment horizontal="center" vertical="center" wrapText="1"/>
    </xf>
    <xf numFmtId="166" fontId="19" fillId="5" borderId="1" xfId="1" applyNumberFormat="1" applyFont="1" applyFill="1" applyBorder="1" applyAlignment="1">
      <alignment horizontal="center" vertical="center"/>
    </xf>
    <xf numFmtId="166" fontId="19" fillId="5" borderId="1" xfId="1" applyNumberFormat="1" applyFont="1" applyFill="1" applyBorder="1" applyAlignment="1">
      <alignment horizontal="right" vertical="center" wrapText="1"/>
    </xf>
    <xf numFmtId="0" fontId="27" fillId="12" borderId="1" xfId="0" applyFont="1" applyFill="1" applyBorder="1" applyAlignment="1">
      <alignment horizontal="center" vertical="center" wrapText="1"/>
    </xf>
    <xf numFmtId="0" fontId="28" fillId="0" borderId="0" xfId="0" applyFont="1"/>
    <xf numFmtId="0" fontId="28" fillId="0" borderId="1" xfId="0" applyFont="1" applyBorder="1" applyAlignment="1">
      <alignment horizontal="left" vertical="center"/>
    </xf>
    <xf numFmtId="0" fontId="28" fillId="0" borderId="1" xfId="0" applyFont="1" applyBorder="1" applyAlignment="1">
      <alignment horizontal="center" vertical="center"/>
    </xf>
    <xf numFmtId="0" fontId="27" fillId="12" borderId="1" xfId="0" applyFont="1" applyFill="1" applyBorder="1" applyAlignment="1">
      <alignment horizontal="left" vertical="center"/>
    </xf>
    <xf numFmtId="0" fontId="27" fillId="12" borderId="1" xfId="0" applyFont="1" applyFill="1" applyBorder="1" applyAlignment="1">
      <alignment horizontal="center" vertical="center"/>
    </xf>
    <xf numFmtId="0" fontId="29" fillId="0" borderId="1" xfId="0" applyFont="1" applyBorder="1" applyAlignment="1">
      <alignment horizontal="center" vertical="center"/>
    </xf>
    <xf numFmtId="0" fontId="28" fillId="0" borderId="1" xfId="0" applyFont="1" applyBorder="1" applyAlignment="1">
      <alignment horizontal="center"/>
    </xf>
    <xf numFmtId="0" fontId="29" fillId="0" borderId="6" xfId="0" applyFont="1" applyBorder="1" applyAlignment="1">
      <alignment horizontal="center" vertical="center"/>
    </xf>
    <xf numFmtId="0" fontId="29" fillId="0" borderId="7" xfId="0" applyFont="1" applyBorder="1" applyAlignment="1">
      <alignment horizontal="center" vertical="center"/>
    </xf>
    <xf numFmtId="0" fontId="28" fillId="0" borderId="6" xfId="0" applyFont="1" applyBorder="1" applyAlignment="1">
      <alignment horizontal="center"/>
    </xf>
    <xf numFmtId="0" fontId="28" fillId="0" borderId="7" xfId="0" applyFont="1" applyBorder="1" applyAlignment="1">
      <alignment horizontal="center"/>
    </xf>
    <xf numFmtId="0" fontId="29" fillId="0" borderId="23" xfId="0" applyFont="1" applyBorder="1" applyAlignment="1">
      <alignment horizontal="center" vertical="center"/>
    </xf>
    <xf numFmtId="0" fontId="29" fillId="0" borderId="10" xfId="0" applyFont="1" applyBorder="1" applyAlignment="1">
      <alignment horizontal="center" vertical="center"/>
    </xf>
    <xf numFmtId="0" fontId="29" fillId="0" borderId="24" xfId="0" applyFont="1" applyBorder="1" applyAlignment="1">
      <alignment horizontal="center" vertical="center"/>
    </xf>
    <xf numFmtId="0" fontId="28" fillId="0" borderId="23" xfId="0" applyFont="1" applyBorder="1" applyAlignment="1">
      <alignment horizontal="center"/>
    </xf>
    <xf numFmtId="0" fontId="28" fillId="0" borderId="10" xfId="0" applyFont="1" applyBorder="1" applyAlignment="1">
      <alignment horizontal="center"/>
    </xf>
    <xf numFmtId="0" fontId="28" fillId="0" borderId="24" xfId="0" applyFont="1" applyBorder="1" applyAlignment="1">
      <alignment horizontal="center"/>
    </xf>
    <xf numFmtId="0" fontId="30" fillId="12" borderId="11" xfId="0" applyFont="1" applyFill="1" applyBorder="1" applyAlignment="1">
      <alignment horizontal="center" vertical="center" wrapText="1"/>
    </xf>
    <xf numFmtId="0" fontId="30" fillId="12" borderId="9" xfId="0" applyFont="1" applyFill="1" applyBorder="1" applyAlignment="1">
      <alignment horizontal="center" vertical="center" wrapText="1"/>
    </xf>
    <xf numFmtId="0" fontId="30" fillId="12" borderId="8" xfId="0" applyFont="1" applyFill="1" applyBorder="1" applyAlignment="1">
      <alignment horizontal="center" vertical="center" wrapText="1"/>
    </xf>
    <xf numFmtId="0" fontId="29" fillId="0" borderId="36" xfId="0" applyFont="1" applyBorder="1" applyAlignment="1">
      <alignment horizontal="center" vertical="center"/>
    </xf>
    <xf numFmtId="0" fontId="29" fillId="0" borderId="13" xfId="0" applyFont="1" applyBorder="1" applyAlignment="1">
      <alignment horizontal="center" vertical="center"/>
    </xf>
    <xf numFmtId="0" fontId="29" fillId="0" borderId="37" xfId="0" applyFont="1" applyBorder="1" applyAlignment="1">
      <alignment horizontal="center" vertical="center"/>
    </xf>
    <xf numFmtId="0" fontId="28" fillId="0" borderId="36" xfId="0" applyFont="1" applyBorder="1" applyAlignment="1">
      <alignment horizontal="center"/>
    </xf>
    <xf numFmtId="0" fontId="28" fillId="0" borderId="13" xfId="0" applyFont="1" applyBorder="1" applyAlignment="1">
      <alignment horizontal="center"/>
    </xf>
    <xf numFmtId="0" fontId="28" fillId="0" borderId="37" xfId="0" applyFont="1" applyBorder="1" applyAlignment="1">
      <alignment horizontal="center"/>
    </xf>
    <xf numFmtId="0" fontId="30" fillId="12" borderId="28" xfId="0" applyFont="1" applyFill="1" applyBorder="1" applyAlignment="1">
      <alignment horizontal="right" vertical="center"/>
    </xf>
    <xf numFmtId="0" fontId="30" fillId="12" borderId="29" xfId="0" applyFont="1" applyFill="1" applyBorder="1" applyAlignment="1">
      <alignment horizontal="center" vertical="center"/>
    </xf>
    <xf numFmtId="0" fontId="30" fillId="12" borderId="30" xfId="0" applyFont="1" applyFill="1" applyBorder="1" applyAlignment="1">
      <alignment horizontal="center" vertical="center"/>
    </xf>
    <xf numFmtId="0" fontId="30" fillId="12" borderId="28" xfId="0" applyFont="1" applyFill="1" applyBorder="1" applyAlignment="1">
      <alignment horizontal="center" vertical="center"/>
    </xf>
    <xf numFmtId="9" fontId="27" fillId="0" borderId="34" xfId="5" applyNumberFormat="1" applyFont="1" applyBorder="1" applyAlignment="1">
      <alignment horizontal="center" vertical="center"/>
    </xf>
    <xf numFmtId="9" fontId="27" fillId="0" borderId="35" xfId="5" applyNumberFormat="1" applyFont="1" applyBorder="1" applyAlignment="1">
      <alignment horizontal="center" vertical="center"/>
    </xf>
    <xf numFmtId="0" fontId="25" fillId="17" borderId="6" xfId="0" applyFont="1" applyFill="1" applyBorder="1" applyAlignment="1">
      <alignment horizontal="center" vertical="center" wrapText="1"/>
    </xf>
    <xf numFmtId="41" fontId="0" fillId="0" borderId="0" xfId="2" applyFont="1"/>
    <xf numFmtId="0" fontId="25" fillId="16" borderId="6" xfId="0" applyFont="1" applyFill="1" applyBorder="1" applyAlignment="1">
      <alignment horizontal="center" vertical="center" wrapText="1"/>
    </xf>
    <xf numFmtId="10" fontId="18" fillId="0" borderId="20" xfId="5" applyNumberFormat="1" applyFont="1" applyFill="1" applyBorder="1" applyAlignment="1">
      <alignment horizontal="right" vertical="center" wrapText="1"/>
    </xf>
    <xf numFmtId="41" fontId="6" fillId="0" borderId="1" xfId="0" applyNumberFormat="1" applyFont="1" applyFill="1" applyBorder="1" applyAlignment="1">
      <alignment horizontal="center" vertical="center" wrapText="1"/>
    </xf>
    <xf numFmtId="166" fontId="6" fillId="5" borderId="3" xfId="1" applyNumberFormat="1" applyFont="1" applyFill="1" applyBorder="1" applyAlignment="1">
      <alignment horizontal="right" vertical="center" wrapText="1"/>
    </xf>
    <xf numFmtId="166" fontId="6" fillId="5" borderId="6" xfId="1" applyNumberFormat="1" applyFont="1" applyFill="1" applyBorder="1" applyAlignment="1">
      <alignment horizontal="right" vertical="center"/>
    </xf>
    <xf numFmtId="41" fontId="6" fillId="0" borderId="1" xfId="2" applyFont="1" applyFill="1" applyBorder="1" applyAlignment="1">
      <alignment horizontal="center" vertical="center"/>
    </xf>
    <xf numFmtId="1" fontId="6" fillId="0" borderId="1" xfId="0" applyNumberFormat="1" applyFont="1" applyFill="1" applyBorder="1" applyAlignment="1">
      <alignment horizontal="center" vertical="center"/>
    </xf>
    <xf numFmtId="0" fontId="0" fillId="9" borderId="0" xfId="0" applyFill="1"/>
    <xf numFmtId="0" fontId="0" fillId="9" borderId="0" xfId="0" applyFill="1" applyAlignment="1">
      <alignment wrapText="1"/>
    </xf>
    <xf numFmtId="0" fontId="32" fillId="9" borderId="0" xfId="0" applyFont="1" applyFill="1"/>
    <xf numFmtId="0" fontId="33" fillId="9" borderId="0" xfId="0" applyFont="1" applyFill="1" applyAlignment="1">
      <alignment horizontal="center" vertical="center"/>
    </xf>
    <xf numFmtId="0" fontId="33" fillId="9" borderId="0" xfId="0" applyFont="1" applyFill="1" applyBorder="1" applyAlignment="1">
      <alignment horizontal="center" vertical="center" wrapText="1"/>
    </xf>
    <xf numFmtId="0" fontId="33" fillId="9" borderId="0" xfId="0" applyFont="1" applyFill="1" applyBorder="1" applyAlignment="1">
      <alignment horizontal="left" vertical="center" wrapText="1"/>
    </xf>
    <xf numFmtId="0" fontId="35" fillId="9" borderId="0" xfId="0" applyFont="1" applyFill="1"/>
    <xf numFmtId="0" fontId="35" fillId="9" borderId="0" xfId="0" applyFont="1" applyFill="1" applyAlignment="1">
      <alignment wrapText="1"/>
    </xf>
    <xf numFmtId="0" fontId="35" fillId="9" borderId="0" xfId="0" applyFont="1" applyFill="1" applyAlignment="1"/>
    <xf numFmtId="0" fontId="35" fillId="9" borderId="0" xfId="0" applyFont="1" applyFill="1" applyAlignment="1">
      <alignment horizontal="right"/>
    </xf>
    <xf numFmtId="0" fontId="35" fillId="9" borderId="0" xfId="0" applyFont="1" applyFill="1" applyAlignment="1">
      <alignment horizontal="right" vertical="center"/>
    </xf>
    <xf numFmtId="164" fontId="36" fillId="9" borderId="0" xfId="5" applyNumberFormat="1" applyFont="1" applyFill="1" applyBorder="1" applyAlignment="1">
      <alignment horizontal="center" vertical="center" wrapText="1"/>
    </xf>
    <xf numFmtId="0" fontId="32" fillId="9" borderId="28" xfId="0" applyFont="1" applyFill="1" applyBorder="1" applyAlignment="1">
      <alignment horizontal="center" vertical="center" wrapText="1"/>
    </xf>
    <xf numFmtId="0" fontId="32" fillId="9" borderId="29" xfId="0" applyFont="1" applyFill="1" applyBorder="1" applyAlignment="1">
      <alignment horizontal="center" vertical="center" wrapText="1"/>
    </xf>
    <xf numFmtId="0" fontId="32" fillId="9" borderId="30" xfId="0" applyFont="1" applyFill="1" applyBorder="1" applyAlignment="1">
      <alignment horizontal="center" vertical="center" wrapText="1"/>
    </xf>
    <xf numFmtId="0" fontId="33" fillId="9" borderId="23" xfId="0" applyFont="1" applyFill="1" applyBorder="1" applyAlignment="1">
      <alignment horizontal="center" vertical="center" wrapText="1"/>
    </xf>
    <xf numFmtId="0" fontId="33" fillId="9" borderId="10" xfId="0" applyFont="1" applyFill="1" applyBorder="1" applyAlignment="1">
      <alignment horizontal="center" vertical="center" wrapText="1"/>
    </xf>
    <xf numFmtId="0" fontId="33" fillId="9" borderId="10" xfId="0" applyFont="1" applyFill="1" applyBorder="1" applyAlignment="1">
      <alignment horizontal="left" vertical="center" wrapText="1"/>
    </xf>
    <xf numFmtId="41" fontId="36" fillId="9" borderId="10" xfId="2" applyFont="1" applyFill="1" applyBorder="1" applyAlignment="1">
      <alignment horizontal="right" vertical="center" wrapText="1"/>
    </xf>
    <xf numFmtId="41" fontId="36" fillId="9" borderId="24" xfId="2" applyFont="1" applyFill="1" applyBorder="1" applyAlignment="1">
      <alignment horizontal="right" vertical="center" wrapText="1"/>
    </xf>
    <xf numFmtId="0" fontId="33" fillId="9" borderId="6" xfId="0" applyFont="1" applyFill="1" applyBorder="1" applyAlignment="1">
      <alignment horizontal="center" vertical="center" wrapText="1"/>
    </xf>
    <xf numFmtId="0" fontId="33" fillId="9" borderId="1" xfId="0" applyFont="1" applyFill="1" applyBorder="1" applyAlignment="1">
      <alignment horizontal="center" vertical="center" wrapText="1"/>
    </xf>
    <xf numFmtId="0" fontId="33" fillId="9" borderId="1" xfId="0" applyFont="1" applyFill="1" applyBorder="1" applyAlignment="1">
      <alignment horizontal="left" vertical="center" wrapText="1"/>
    </xf>
    <xf numFmtId="10" fontId="36" fillId="9" borderId="1" xfId="5" applyNumberFormat="1" applyFont="1" applyFill="1" applyBorder="1" applyAlignment="1">
      <alignment horizontal="right" vertical="center" wrapText="1"/>
    </xf>
    <xf numFmtId="10" fontId="36" fillId="9" borderId="7" xfId="5" applyNumberFormat="1" applyFont="1" applyFill="1" applyBorder="1" applyAlignment="1">
      <alignment horizontal="right" vertical="center" wrapText="1"/>
    </xf>
    <xf numFmtId="41" fontId="36" fillId="9" borderId="1" xfId="2" applyFont="1" applyFill="1" applyBorder="1" applyAlignment="1">
      <alignment horizontal="right" vertical="center" wrapText="1"/>
    </xf>
    <xf numFmtId="41" fontId="36" fillId="9" borderId="7" xfId="2" applyFont="1" applyFill="1" applyBorder="1" applyAlignment="1">
      <alignment horizontal="right" vertical="center" wrapText="1"/>
    </xf>
    <xf numFmtId="167" fontId="36" fillId="9" borderId="1" xfId="2" applyNumberFormat="1" applyFont="1" applyFill="1" applyBorder="1" applyAlignment="1">
      <alignment horizontal="right" vertical="center" wrapText="1"/>
    </xf>
    <xf numFmtId="167" fontId="36" fillId="9" borderId="7" xfId="2" applyNumberFormat="1" applyFont="1" applyFill="1" applyBorder="1" applyAlignment="1">
      <alignment horizontal="right" vertical="center" wrapText="1"/>
    </xf>
    <xf numFmtId="0" fontId="33" fillId="9" borderId="8" xfId="0" applyFont="1" applyFill="1" applyBorder="1" applyAlignment="1">
      <alignment horizontal="center" vertical="center" wrapText="1"/>
    </xf>
    <xf numFmtId="0" fontId="33" fillId="9" borderId="11" xfId="0" applyFont="1" applyFill="1" applyBorder="1" applyAlignment="1">
      <alignment horizontal="center" vertical="center" wrapText="1"/>
    </xf>
    <xf numFmtId="0" fontId="33" fillId="9" borderId="11" xfId="0" applyFont="1" applyFill="1" applyBorder="1" applyAlignment="1">
      <alignment horizontal="left" vertical="center" wrapText="1"/>
    </xf>
    <xf numFmtId="41" fontId="36" fillId="9" borderId="11" xfId="2" applyFont="1" applyFill="1" applyBorder="1" applyAlignment="1">
      <alignment horizontal="right" vertical="center" wrapText="1"/>
    </xf>
    <xf numFmtId="41" fontId="36" fillId="9" borderId="9" xfId="2" applyFont="1" applyFill="1" applyBorder="1" applyAlignment="1">
      <alignment horizontal="right" vertical="center" wrapText="1"/>
    </xf>
    <xf numFmtId="0" fontId="33" fillId="9" borderId="4" xfId="0" applyFont="1" applyFill="1" applyBorder="1" applyAlignment="1">
      <alignment horizontal="center" vertical="center" wrapText="1"/>
    </xf>
    <xf numFmtId="0" fontId="33" fillId="9" borderId="14" xfId="0" applyFont="1" applyFill="1" applyBorder="1" applyAlignment="1">
      <alignment horizontal="center" vertical="center" wrapText="1"/>
    </xf>
    <xf numFmtId="0" fontId="33" fillId="9" borderId="14" xfId="0" applyFont="1" applyFill="1" applyBorder="1" applyAlignment="1">
      <alignment horizontal="left" vertical="center" wrapText="1"/>
    </xf>
    <xf numFmtId="10" fontId="36" fillId="9" borderId="14" xfId="5" applyNumberFormat="1" applyFont="1" applyFill="1" applyBorder="1" applyAlignment="1">
      <alignment horizontal="right" vertical="center" wrapText="1"/>
    </xf>
    <xf numFmtId="10" fontId="36" fillId="9" borderId="5" xfId="5" applyNumberFormat="1" applyFont="1" applyFill="1" applyBorder="1" applyAlignment="1">
      <alignment horizontal="right" vertical="center" wrapText="1"/>
    </xf>
    <xf numFmtId="0" fontId="33" fillId="9" borderId="28" xfId="0" applyFont="1" applyFill="1" applyBorder="1" applyAlignment="1">
      <alignment horizontal="center" vertical="center" wrapText="1"/>
    </xf>
    <xf numFmtId="0" fontId="33" fillId="9" borderId="29" xfId="0" applyFont="1" applyFill="1" applyBorder="1" applyAlignment="1">
      <alignment horizontal="center" vertical="center" wrapText="1"/>
    </xf>
    <xf numFmtId="0" fontId="33" fillId="9" borderId="29" xfId="0" applyFont="1" applyFill="1" applyBorder="1" applyAlignment="1">
      <alignment horizontal="left" vertical="center" wrapText="1"/>
    </xf>
    <xf numFmtId="10" fontId="36" fillId="9" borderId="29" xfId="5" applyNumberFormat="1" applyFont="1" applyFill="1" applyBorder="1" applyAlignment="1">
      <alignment horizontal="right" vertical="center" wrapText="1"/>
    </xf>
    <xf numFmtId="10" fontId="36" fillId="9" borderId="30" xfId="5" applyNumberFormat="1" applyFont="1" applyFill="1" applyBorder="1" applyAlignment="1">
      <alignment horizontal="right" vertical="center" wrapText="1"/>
    </xf>
    <xf numFmtId="0" fontId="34" fillId="9" borderId="29" xfId="0" applyFont="1" applyFill="1" applyBorder="1" applyAlignment="1">
      <alignment horizontal="center" vertical="center" wrapText="1"/>
    </xf>
    <xf numFmtId="0" fontId="34" fillId="9" borderId="30" xfId="0" applyFont="1" applyFill="1" applyBorder="1" applyAlignment="1">
      <alignment horizontal="center" vertical="center" wrapText="1"/>
    </xf>
    <xf numFmtId="41" fontId="36" fillId="9" borderId="14" xfId="2" applyFont="1" applyFill="1" applyBorder="1" applyAlignment="1">
      <alignment horizontal="right" vertical="center" wrapText="1"/>
    </xf>
    <xf numFmtId="41" fontId="36" fillId="9" borderId="14" xfId="2" applyFont="1" applyFill="1" applyBorder="1" applyAlignment="1">
      <alignment horizontal="center" vertical="center" wrapText="1"/>
    </xf>
    <xf numFmtId="41" fontId="36" fillId="9" borderId="5" xfId="2" applyFont="1" applyFill="1" applyBorder="1" applyAlignment="1">
      <alignment horizontal="center" vertical="center" wrapText="1"/>
    </xf>
    <xf numFmtId="41" fontId="36" fillId="9" borderId="1" xfId="2" applyFont="1" applyFill="1" applyBorder="1" applyAlignment="1">
      <alignment horizontal="center" vertical="center" wrapText="1"/>
    </xf>
    <xf numFmtId="41" fontId="36" fillId="9" borderId="7" xfId="2" applyFont="1" applyFill="1" applyBorder="1" applyAlignment="1">
      <alignment horizontal="center" vertical="center" wrapText="1"/>
    </xf>
    <xf numFmtId="10" fontId="36" fillId="9" borderId="1" xfId="5" applyNumberFormat="1" applyFont="1" applyFill="1" applyBorder="1" applyAlignment="1">
      <alignment horizontal="center" vertical="center" wrapText="1"/>
    </xf>
    <xf numFmtId="10" fontId="36" fillId="9" borderId="7" xfId="5" applyNumberFormat="1" applyFont="1" applyFill="1" applyBorder="1" applyAlignment="1">
      <alignment horizontal="center" vertical="center" wrapText="1"/>
    </xf>
    <xf numFmtId="10" fontId="36" fillId="9" borderId="11" xfId="5" applyNumberFormat="1" applyFont="1" applyFill="1" applyBorder="1" applyAlignment="1">
      <alignment horizontal="right" vertical="center" wrapText="1"/>
    </xf>
    <xf numFmtId="10" fontId="36" fillId="9" borderId="11" xfId="5" applyNumberFormat="1" applyFont="1" applyFill="1" applyBorder="1" applyAlignment="1">
      <alignment horizontal="center" vertical="center" wrapText="1"/>
    </xf>
    <xf numFmtId="10" fontId="36" fillId="9" borderId="9" xfId="5" applyNumberFormat="1" applyFont="1" applyFill="1" applyBorder="1" applyAlignment="1">
      <alignment horizontal="center" vertical="center" wrapText="1"/>
    </xf>
    <xf numFmtId="0" fontId="33" fillId="0" borderId="14" xfId="0" applyFont="1" applyFill="1" applyBorder="1" applyAlignment="1">
      <alignment horizontal="left" vertical="center" wrapText="1"/>
    </xf>
    <xf numFmtId="0" fontId="33" fillId="0" borderId="1" xfId="0" applyFont="1" applyFill="1" applyBorder="1" applyAlignment="1">
      <alignment horizontal="left" vertical="center" wrapText="1"/>
    </xf>
    <xf numFmtId="165" fontId="6" fillId="0" borderId="1" xfId="1" applyNumberFormat="1" applyFont="1" applyFill="1" applyBorder="1" applyAlignment="1">
      <alignment horizontal="right" vertical="center" wrapText="1"/>
    </xf>
    <xf numFmtId="9" fontId="6" fillId="0" borderId="1" xfId="1" applyNumberFormat="1" applyFont="1" applyFill="1" applyBorder="1" applyAlignment="1">
      <alignment horizontal="center" vertical="center" wrapText="1"/>
    </xf>
    <xf numFmtId="10" fontId="6" fillId="12" borderId="6" xfId="5" applyNumberFormat="1" applyFont="1" applyFill="1" applyBorder="1" applyAlignment="1">
      <alignment horizontal="center" vertical="center" wrapText="1"/>
    </xf>
    <xf numFmtId="164" fontId="6" fillId="0" borderId="13" xfId="5" applyNumberFormat="1" applyFont="1" applyFill="1" applyBorder="1" applyAlignment="1">
      <alignment horizontal="right" vertical="center" wrapText="1"/>
    </xf>
    <xf numFmtId="10" fontId="6" fillId="0" borderId="13" xfId="5" applyNumberFormat="1" applyFont="1" applyFill="1" applyBorder="1" applyAlignment="1">
      <alignment horizontal="right" vertical="center" wrapText="1"/>
    </xf>
    <xf numFmtId="41" fontId="6" fillId="0" borderId="1" xfId="2" applyFont="1" applyFill="1" applyBorder="1" applyAlignment="1">
      <alignment horizontal="right" vertical="center"/>
    </xf>
    <xf numFmtId="10" fontId="6" fillId="0" borderId="41" xfId="5" applyNumberFormat="1" applyFont="1" applyFill="1" applyBorder="1" applyAlignment="1">
      <alignment horizontal="right" vertical="center" wrapText="1"/>
    </xf>
    <xf numFmtId="10" fontId="6" fillId="0" borderId="17" xfId="5" applyNumberFormat="1" applyFont="1" applyFill="1" applyBorder="1" applyAlignment="1">
      <alignment horizontal="right" vertical="center"/>
    </xf>
    <xf numFmtId="164" fontId="6" fillId="0" borderId="37" xfId="5" applyNumberFormat="1" applyFont="1" applyFill="1" applyBorder="1" applyAlignment="1">
      <alignment horizontal="right" vertical="center" wrapText="1"/>
    </xf>
    <xf numFmtId="10" fontId="18" fillId="0" borderId="20" xfId="3" applyNumberFormat="1" applyFont="1" applyFill="1" applyBorder="1" applyAlignment="1">
      <alignment horizontal="right" vertical="center" wrapText="1"/>
    </xf>
    <xf numFmtId="10" fontId="18" fillId="0" borderId="21" xfId="5" applyNumberFormat="1" applyFont="1" applyFill="1" applyBorder="1" applyAlignment="1">
      <alignment horizontal="right" vertical="center" wrapText="1"/>
    </xf>
    <xf numFmtId="10" fontId="18" fillId="0" borderId="20" xfId="0" applyNumberFormat="1" applyFont="1" applyFill="1" applyBorder="1" applyAlignment="1">
      <alignment horizontal="right" vertical="center" wrapText="1"/>
    </xf>
    <xf numFmtId="0" fontId="0" fillId="0" borderId="0" xfId="0" applyAlignment="1">
      <alignment horizontal="center" vertical="center" wrapText="1"/>
    </xf>
    <xf numFmtId="166" fontId="18" fillId="0" borderId="20" xfId="1" applyNumberFormat="1" applyFont="1" applyFill="1" applyBorder="1" applyAlignment="1">
      <alignment horizontal="right" vertical="center" wrapText="1"/>
    </xf>
    <xf numFmtId="164" fontId="6" fillId="12" borderId="1" xfId="5" applyNumberFormat="1" applyFont="1" applyFill="1" applyBorder="1" applyAlignment="1">
      <alignment horizontal="right" vertical="center" wrapText="1"/>
    </xf>
    <xf numFmtId="166" fontId="18" fillId="0" borderId="20" xfId="1" applyNumberFormat="1" applyFont="1" applyFill="1" applyBorder="1" applyAlignment="1">
      <alignment horizontal="right" vertical="center"/>
    </xf>
    <xf numFmtId="165" fontId="6" fillId="12" borderId="1" xfId="0" applyNumberFormat="1" applyFont="1" applyFill="1" applyBorder="1" applyAlignment="1">
      <alignment horizontal="right" vertical="center" wrapText="1"/>
    </xf>
    <xf numFmtId="164" fontId="6" fillId="12" borderId="7" xfId="5" applyNumberFormat="1" applyFont="1" applyFill="1" applyBorder="1" applyAlignment="1">
      <alignment horizontal="right" vertical="center" wrapText="1"/>
    </xf>
    <xf numFmtId="9" fontId="6" fillId="5" borderId="1" xfId="5" applyNumberFormat="1" applyFont="1" applyFill="1" applyBorder="1" applyAlignment="1">
      <alignment horizontal="right" vertical="center" wrapText="1"/>
    </xf>
    <xf numFmtId="0" fontId="0"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6" fillId="0" borderId="6" xfId="0" applyFont="1" applyFill="1" applyBorder="1" applyAlignment="1">
      <alignment horizontal="center" vertical="center" wrapText="1"/>
    </xf>
    <xf numFmtId="10" fontId="18" fillId="0" borderId="1" xfId="5" applyNumberFormat="1" applyFont="1" applyFill="1" applyBorder="1" applyAlignment="1">
      <alignment horizontal="center" vertical="center" wrapText="1"/>
    </xf>
    <xf numFmtId="9" fontId="14" fillId="0" borderId="1" xfId="4" applyNumberFormat="1" applyFont="1" applyFill="1" applyBorder="1" applyAlignment="1" applyProtection="1">
      <alignment horizontal="center" vertical="center" wrapText="1"/>
    </xf>
    <xf numFmtId="9" fontId="6" fillId="0" borderId="1" xfId="5" applyNumberFormat="1" applyFont="1" applyFill="1" applyBorder="1" applyAlignment="1">
      <alignment horizontal="right" vertical="center"/>
    </xf>
    <xf numFmtId="41" fontId="6" fillId="0" borderId="10" xfId="2" applyFont="1" applyFill="1" applyBorder="1" applyAlignment="1">
      <alignment horizontal="center" vertical="center"/>
    </xf>
    <xf numFmtId="10" fontId="18" fillId="0" borderId="20" xfId="3" applyNumberFormat="1" applyFont="1" applyFill="1" applyBorder="1" applyAlignment="1">
      <alignment horizontal="center" vertical="center" wrapText="1"/>
    </xf>
    <xf numFmtId="164" fontId="6" fillId="5" borderId="10" xfId="5" applyNumberFormat="1" applyFont="1" applyFill="1" applyBorder="1" applyAlignment="1">
      <alignment horizontal="right" vertical="center" wrapText="1"/>
    </xf>
    <xf numFmtId="164" fontId="6" fillId="5" borderId="1" xfId="5" applyNumberFormat="1" applyFont="1" applyFill="1" applyBorder="1" applyAlignment="1">
      <alignment horizontal="right" vertical="center" wrapText="1"/>
    </xf>
    <xf numFmtId="10" fontId="18" fillId="0" borderId="1" xfId="0" applyNumberFormat="1" applyFont="1" applyFill="1" applyBorder="1" applyAlignment="1">
      <alignment horizontal="center" vertical="center"/>
    </xf>
    <xf numFmtId="166" fontId="18" fillId="0" borderId="1" xfId="0" applyNumberFormat="1" applyFont="1" applyFill="1" applyBorder="1" applyAlignment="1">
      <alignment horizontal="center" vertical="center" wrapText="1"/>
    </xf>
    <xf numFmtId="10" fontId="18" fillId="0" borderId="11" xfId="5" applyNumberFormat="1" applyFont="1" applyFill="1" applyBorder="1" applyAlignment="1">
      <alignment horizontal="center" vertical="center"/>
    </xf>
    <xf numFmtId="166" fontId="31" fillId="0" borderId="20" xfId="1" applyNumberFormat="1" applyFont="1" applyFill="1" applyBorder="1" applyAlignment="1">
      <alignment horizontal="right" vertical="center" wrapText="1"/>
    </xf>
    <xf numFmtId="10" fontId="18" fillId="0" borderId="20" xfId="0" applyNumberFormat="1" applyFont="1" applyFill="1" applyBorder="1" applyAlignment="1">
      <alignment horizontal="center" vertical="center" wrapText="1"/>
    </xf>
    <xf numFmtId="164" fontId="6" fillId="12" borderId="1" xfId="0" applyNumberFormat="1" applyFont="1" applyFill="1" applyBorder="1" applyAlignment="1">
      <alignment horizontal="right" vertical="center" wrapText="1"/>
    </xf>
    <xf numFmtId="9" fontId="6" fillId="12" borderId="1" xfId="0" applyNumberFormat="1" applyFont="1" applyFill="1" applyBorder="1" applyAlignment="1">
      <alignment horizontal="right" vertical="center" wrapText="1"/>
    </xf>
    <xf numFmtId="10" fontId="18" fillId="0" borderId="22" xfId="3" applyNumberFormat="1" applyFont="1" applyFill="1" applyBorder="1" applyAlignment="1">
      <alignment horizontal="right" vertical="center"/>
    </xf>
    <xf numFmtId="10" fontId="38" fillId="12" borderId="1" xfId="0" applyNumberFormat="1" applyFont="1" applyFill="1" applyBorder="1" applyAlignment="1">
      <alignment horizontal="right" vertical="center" wrapText="1"/>
    </xf>
    <xf numFmtId="0" fontId="0" fillId="0" borderId="0" xfId="0" applyAlignment="1">
      <alignment wrapText="1"/>
    </xf>
    <xf numFmtId="0" fontId="0" fillId="0" borderId="0" xfId="0" applyAlignment="1">
      <alignment vertical="center" wrapText="1"/>
    </xf>
    <xf numFmtId="0" fontId="0" fillId="9" borderId="0" xfId="0" applyFill="1" applyAlignment="1">
      <alignment horizontal="left" vertical="center" wrapText="1"/>
    </xf>
    <xf numFmtId="0" fontId="0" fillId="9" borderId="0" xfId="0" applyFill="1" applyAlignment="1">
      <alignment horizontal="center" vertical="center"/>
    </xf>
    <xf numFmtId="10" fontId="0" fillId="9" borderId="0" xfId="5" applyNumberFormat="1" applyFont="1" applyFill="1"/>
    <xf numFmtId="0" fontId="0" fillId="9" borderId="0" xfId="0" applyFill="1" applyBorder="1"/>
    <xf numFmtId="0" fontId="0" fillId="9" borderId="0" xfId="0" applyFill="1" applyBorder="1" applyAlignment="1">
      <alignment horizontal="left" vertical="center" wrapText="1"/>
    </xf>
    <xf numFmtId="0" fontId="0" fillId="9" borderId="0" xfId="0" applyFill="1" applyBorder="1" applyAlignment="1">
      <alignment horizontal="center" vertical="center" wrapText="1"/>
    </xf>
    <xf numFmtId="0" fontId="0" fillId="9" borderId="0" xfId="0" applyFill="1" applyBorder="1" applyAlignment="1">
      <alignment horizontal="center" vertical="center"/>
    </xf>
    <xf numFmtId="164" fontId="6" fillId="9" borderId="0" xfId="5" applyNumberFormat="1" applyFont="1" applyFill="1" applyBorder="1" applyAlignment="1">
      <alignment horizontal="right" vertical="center" wrapText="1"/>
    </xf>
    <xf numFmtId="0" fontId="0" fillId="9" borderId="0" xfId="0" applyFill="1" applyAlignment="1">
      <alignment horizontal="center"/>
    </xf>
    <xf numFmtId="0" fontId="41" fillId="9" borderId="0" xfId="0" applyFont="1" applyFill="1" applyAlignment="1">
      <alignment horizontal="center"/>
    </xf>
    <xf numFmtId="0" fontId="17" fillId="9" borderId="43" xfId="0" applyFont="1" applyFill="1" applyBorder="1" applyAlignment="1">
      <alignment horizontal="center" vertical="center"/>
    </xf>
    <xf numFmtId="0" fontId="39" fillId="18" borderId="52" xfId="0" applyFont="1" applyFill="1" applyBorder="1" applyAlignment="1">
      <alignment horizontal="center" vertical="center" wrapText="1"/>
    </xf>
    <xf numFmtId="0" fontId="39" fillId="18" borderId="53" xfId="0" applyFont="1" applyFill="1" applyBorder="1" applyAlignment="1">
      <alignment horizontal="center" vertical="center" wrapText="1"/>
    </xf>
    <xf numFmtId="0" fontId="39" fillId="18" borderId="54" xfId="0" applyFont="1" applyFill="1" applyBorder="1" applyAlignment="1">
      <alignment horizontal="center" vertical="center" wrapText="1"/>
    </xf>
    <xf numFmtId="10" fontId="39" fillId="18" borderId="54" xfId="5" applyNumberFormat="1" applyFont="1" applyFill="1" applyBorder="1" applyAlignment="1">
      <alignment horizontal="center" vertical="center" wrapText="1"/>
    </xf>
    <xf numFmtId="0" fontId="39" fillId="18" borderId="55" xfId="0" applyFont="1" applyFill="1" applyBorder="1" applyAlignment="1">
      <alignment horizontal="center" vertical="center" wrapText="1"/>
    </xf>
    <xf numFmtId="43" fontId="6" fillId="12" borderId="1" xfId="1" applyFont="1" applyFill="1" applyBorder="1" applyAlignment="1">
      <alignment horizontal="right" vertical="center" wrapText="1"/>
    </xf>
    <xf numFmtId="10" fontId="17" fillId="0" borderId="3" xfId="0" applyNumberFormat="1" applyFont="1" applyFill="1" applyBorder="1" applyAlignment="1">
      <alignment horizontal="center" vertical="center"/>
    </xf>
    <xf numFmtId="166" fontId="6" fillId="0" borderId="6" xfId="1" applyNumberFormat="1" applyFont="1" applyFill="1" applyBorder="1" applyAlignment="1">
      <alignment horizontal="center" vertical="center" wrapText="1"/>
    </xf>
    <xf numFmtId="166" fontId="6" fillId="0" borderId="3" xfId="1" applyNumberFormat="1" applyFont="1" applyFill="1" applyBorder="1" applyAlignment="1">
      <alignment horizontal="center" vertical="center" wrapText="1"/>
    </xf>
    <xf numFmtId="166" fontId="6" fillId="0" borderId="6" xfId="1" applyNumberFormat="1" applyFont="1" applyFill="1" applyBorder="1" applyAlignment="1">
      <alignment horizontal="center" vertical="center"/>
    </xf>
    <xf numFmtId="166" fontId="1" fillId="0" borderId="3" xfId="1" applyNumberFormat="1" applyFont="1" applyFill="1" applyBorder="1" applyAlignment="1">
      <alignment horizontal="center" vertical="center"/>
    </xf>
    <xf numFmtId="0" fontId="0" fillId="7" borderId="6" xfId="0" applyFill="1" applyBorder="1" applyAlignment="1">
      <alignment horizontal="center" vertical="center" wrapText="1"/>
    </xf>
    <xf numFmtId="0" fontId="39" fillId="18" borderId="53" xfId="0" applyFont="1" applyFill="1" applyBorder="1" applyAlignment="1">
      <alignment horizontal="center" vertical="center"/>
    </xf>
    <xf numFmtId="0" fontId="39" fillId="18" borderId="39" xfId="0" applyFont="1" applyFill="1" applyBorder="1" applyAlignment="1">
      <alignment horizontal="center" vertical="center" wrapText="1"/>
    </xf>
    <xf numFmtId="0" fontId="39" fillId="18" borderId="46" xfId="0" applyFont="1" applyFill="1" applyBorder="1" applyAlignment="1">
      <alignment horizontal="center" vertical="center"/>
    </xf>
    <xf numFmtId="9" fontId="6" fillId="9" borderId="47" xfId="5" applyNumberFormat="1" applyFont="1" applyFill="1" applyBorder="1" applyAlignment="1">
      <alignment horizontal="center" vertical="center" wrapText="1"/>
    </xf>
    <xf numFmtId="0" fontId="0" fillId="9" borderId="56" xfId="0" applyFill="1" applyBorder="1" applyAlignment="1">
      <alignment horizontal="left" wrapText="1"/>
    </xf>
    <xf numFmtId="0" fontId="39" fillId="18" borderId="48" xfId="0" applyFont="1" applyFill="1" applyBorder="1" applyAlignment="1">
      <alignment horizontal="center" vertical="center"/>
    </xf>
    <xf numFmtId="9" fontId="6" fillId="9" borderId="49" xfId="5" applyNumberFormat="1" applyFont="1" applyFill="1" applyBorder="1" applyAlignment="1">
      <alignment horizontal="center" vertical="center" wrapText="1"/>
    </xf>
    <xf numFmtId="0" fontId="0" fillId="9" borderId="57" xfId="0" applyFill="1" applyBorder="1" applyAlignment="1">
      <alignment horizontal="left"/>
    </xf>
    <xf numFmtId="0" fontId="39" fillId="18" borderId="50" xfId="0" applyFont="1" applyFill="1" applyBorder="1" applyAlignment="1">
      <alignment horizontal="center" vertical="center"/>
    </xf>
    <xf numFmtId="9" fontId="6" fillId="9" borderId="51" xfId="5" applyNumberFormat="1" applyFont="1" applyFill="1" applyBorder="1" applyAlignment="1">
      <alignment horizontal="center" vertical="center" wrapText="1"/>
    </xf>
    <xf numFmtId="0" fontId="0" fillId="9" borderId="58" xfId="0" applyFill="1" applyBorder="1" applyAlignment="1">
      <alignment horizontal="left" wrapText="1"/>
    </xf>
    <xf numFmtId="0" fontId="39" fillId="9" borderId="0" xfId="0" applyFont="1" applyFill="1" applyBorder="1" applyAlignment="1">
      <alignment horizontal="center" vertical="center"/>
    </xf>
    <xf numFmtId="9" fontId="6" fillId="9" borderId="0" xfId="5" applyNumberFormat="1" applyFont="1" applyFill="1" applyBorder="1" applyAlignment="1">
      <alignment horizontal="center" vertical="center" wrapText="1"/>
    </xf>
    <xf numFmtId="0" fontId="39" fillId="20" borderId="52" xfId="0" applyFont="1" applyFill="1" applyBorder="1" applyAlignment="1">
      <alignment horizontal="center" vertical="center"/>
    </xf>
    <xf numFmtId="0" fontId="0" fillId="9" borderId="0" xfId="0" applyFill="1" applyBorder="1" applyAlignment="1">
      <alignment horizontal="center"/>
    </xf>
    <xf numFmtId="0" fontId="0" fillId="9" borderId="0" xfId="0" applyFill="1" applyBorder="1" applyAlignment="1">
      <alignment wrapText="1"/>
    </xf>
    <xf numFmtId="0" fontId="24" fillId="9" borderId="0" xfId="0" applyFont="1" applyFill="1" applyBorder="1" applyAlignment="1">
      <alignment vertical="center" wrapText="1"/>
    </xf>
    <xf numFmtId="10" fontId="17" fillId="9" borderId="44" xfId="0" applyNumberFormat="1" applyFont="1" applyFill="1" applyBorder="1" applyAlignment="1">
      <alignment horizontal="center" vertical="center" wrapText="1"/>
    </xf>
    <xf numFmtId="10" fontId="43" fillId="9" borderId="34" xfId="0" applyNumberFormat="1" applyFont="1" applyFill="1" applyBorder="1" applyAlignment="1">
      <alignment horizontal="center" wrapText="1"/>
    </xf>
    <xf numFmtId="10" fontId="17" fillId="9" borderId="59" xfId="0" applyNumberFormat="1" applyFont="1" applyFill="1" applyBorder="1" applyAlignment="1">
      <alignment horizontal="center" vertical="center" wrapText="1"/>
    </xf>
    <xf numFmtId="0" fontId="0" fillId="9" borderId="61" xfId="0" applyFill="1" applyBorder="1" applyAlignment="1">
      <alignment horizontal="left" vertical="center" wrapText="1"/>
    </xf>
    <xf numFmtId="0" fontId="0" fillId="9" borderId="61" xfId="0" applyFill="1" applyBorder="1" applyAlignment="1">
      <alignment horizontal="center" vertical="center" wrapText="1"/>
    </xf>
    <xf numFmtId="0" fontId="0" fillId="9" borderId="61" xfId="0" applyFill="1" applyBorder="1" applyAlignment="1">
      <alignment horizontal="center" vertical="center"/>
    </xf>
    <xf numFmtId="49" fontId="0" fillId="9" borderId="61" xfId="0" applyNumberFormat="1" applyFill="1" applyBorder="1" applyAlignment="1">
      <alignment horizontal="center" vertical="center" wrapText="1"/>
    </xf>
    <xf numFmtId="0" fontId="17" fillId="9" borderId="61" xfId="0" applyFont="1" applyFill="1" applyBorder="1" applyAlignment="1">
      <alignment horizontal="left" vertical="center" wrapText="1"/>
    </xf>
    <xf numFmtId="0" fontId="0" fillId="9" borderId="62" xfId="0" applyFill="1" applyBorder="1" applyAlignment="1">
      <alignment horizontal="center" vertical="center" wrapText="1"/>
    </xf>
    <xf numFmtId="0" fontId="0" fillId="9" borderId="63" xfId="0" applyFill="1" applyBorder="1" applyAlignment="1">
      <alignment horizontal="center" vertical="center" wrapText="1"/>
    </xf>
    <xf numFmtId="0" fontId="0" fillId="9" borderId="63" xfId="0" applyFill="1" applyBorder="1" applyAlignment="1">
      <alignment horizontal="center" vertical="center"/>
    </xf>
    <xf numFmtId="10" fontId="0" fillId="9" borderId="64" xfId="5" applyNumberFormat="1" applyFont="1" applyFill="1" applyBorder="1" applyAlignment="1">
      <alignment horizontal="center" vertical="center" wrapText="1"/>
    </xf>
    <xf numFmtId="10" fontId="0" fillId="9" borderId="65" xfId="5" applyNumberFormat="1" applyFont="1" applyFill="1" applyBorder="1" applyAlignment="1">
      <alignment horizontal="center" vertical="center"/>
    </xf>
    <xf numFmtId="0" fontId="39" fillId="18" borderId="29" xfId="0" applyFont="1" applyFill="1" applyBorder="1" applyAlignment="1">
      <alignment horizontal="center" vertical="center" wrapText="1"/>
    </xf>
    <xf numFmtId="0" fontId="0" fillId="9" borderId="67" xfId="0" applyFill="1" applyBorder="1" applyAlignment="1">
      <alignment horizontal="center" vertical="center" wrapText="1"/>
    </xf>
    <xf numFmtId="0" fontId="0" fillId="9" borderId="68" xfId="0" applyFill="1" applyBorder="1" applyAlignment="1">
      <alignment horizontal="center" vertical="center" wrapText="1"/>
    </xf>
    <xf numFmtId="0" fontId="0" fillId="9" borderId="67" xfId="0" applyFill="1" applyBorder="1" applyAlignment="1">
      <alignment horizontal="left" vertical="center" wrapText="1"/>
    </xf>
    <xf numFmtId="0" fontId="0" fillId="9" borderId="67" xfId="0" applyFill="1" applyBorder="1" applyAlignment="1">
      <alignment horizontal="center" vertical="center"/>
    </xf>
    <xf numFmtId="0" fontId="0" fillId="9" borderId="68" xfId="0" applyFill="1" applyBorder="1" applyAlignment="1">
      <alignment horizontal="left" vertical="center" wrapText="1"/>
    </xf>
    <xf numFmtId="0" fontId="0" fillId="9" borderId="68" xfId="0" applyFill="1" applyBorder="1" applyAlignment="1">
      <alignment horizontal="center" vertical="center"/>
    </xf>
    <xf numFmtId="0" fontId="0" fillId="9" borderId="70" xfId="0" applyFill="1" applyBorder="1" applyAlignment="1">
      <alignment horizontal="center" vertical="center" wrapText="1"/>
    </xf>
    <xf numFmtId="49" fontId="0" fillId="9" borderId="67" xfId="0" applyNumberFormat="1" applyFill="1" applyBorder="1" applyAlignment="1">
      <alignment horizontal="center" vertical="center" wrapText="1"/>
    </xf>
    <xf numFmtId="10" fontId="0" fillId="9" borderId="71" xfId="5" applyNumberFormat="1" applyFont="1" applyFill="1" applyBorder="1" applyAlignment="1">
      <alignment horizontal="center" vertical="center" wrapText="1"/>
    </xf>
    <xf numFmtId="10" fontId="0" fillId="9" borderId="73" xfId="5" applyNumberFormat="1" applyFont="1" applyFill="1" applyBorder="1" applyAlignment="1">
      <alignment horizontal="center" vertical="center" wrapText="1"/>
    </xf>
    <xf numFmtId="10" fontId="18" fillId="9" borderId="73" xfId="5" applyNumberFormat="1" applyFont="1" applyFill="1" applyBorder="1" applyAlignment="1">
      <alignment horizontal="center" vertical="center" wrapText="1"/>
    </xf>
    <xf numFmtId="49" fontId="0" fillId="9" borderId="68" xfId="0" applyNumberFormat="1" applyFill="1" applyBorder="1" applyAlignment="1">
      <alignment horizontal="center" vertical="center" wrapText="1"/>
    </xf>
    <xf numFmtId="10" fontId="0" fillId="9" borderId="75" xfId="5" applyNumberFormat="1" applyFont="1" applyFill="1" applyBorder="1" applyAlignment="1">
      <alignment horizontal="center" vertical="center" wrapText="1"/>
    </xf>
    <xf numFmtId="10" fontId="0" fillId="9" borderId="76" xfId="5" applyNumberFormat="1" applyFont="1" applyFill="1" applyBorder="1" applyAlignment="1">
      <alignment horizontal="center" vertical="center"/>
    </xf>
    <xf numFmtId="0" fontId="0" fillId="9" borderId="66" xfId="0" applyFill="1" applyBorder="1" applyAlignment="1">
      <alignment horizontal="left" vertical="center" wrapText="1"/>
    </xf>
    <xf numFmtId="0" fontId="39" fillId="18" borderId="77" xfId="0" applyFont="1" applyFill="1" applyBorder="1" applyAlignment="1">
      <alignment horizontal="center" vertical="center" wrapText="1"/>
    </xf>
    <xf numFmtId="49" fontId="17" fillId="9" borderId="0" xfId="0" applyNumberFormat="1" applyFont="1" applyFill="1" applyBorder="1" applyAlignment="1">
      <alignment horizontal="center" vertical="center"/>
    </xf>
    <xf numFmtId="0" fontId="17" fillId="9" borderId="0" xfId="0" applyFont="1" applyFill="1" applyBorder="1" applyAlignment="1">
      <alignment horizontal="center" vertical="center"/>
    </xf>
    <xf numFmtId="0" fontId="39" fillId="18" borderId="79" xfId="0" applyFont="1" applyFill="1" applyBorder="1" applyAlignment="1">
      <alignment horizontal="center" vertical="center" wrapText="1"/>
    </xf>
    <xf numFmtId="10" fontId="0" fillId="9" borderId="78" xfId="5" applyNumberFormat="1" applyFont="1" applyFill="1" applyBorder="1" applyAlignment="1">
      <alignment horizontal="center" vertical="center"/>
    </xf>
    <xf numFmtId="41" fontId="0" fillId="9" borderId="78" xfId="2" applyFont="1" applyFill="1" applyBorder="1" applyAlignment="1">
      <alignment horizontal="center" vertical="center"/>
    </xf>
    <xf numFmtId="0" fontId="0" fillId="9" borderId="80" xfId="0" applyFill="1" applyBorder="1" applyAlignment="1">
      <alignment horizontal="left" vertical="center" wrapText="1"/>
    </xf>
    <xf numFmtId="41" fontId="0" fillId="9" borderId="81" xfId="2" applyFont="1" applyFill="1" applyBorder="1" applyAlignment="1">
      <alignment horizontal="center" vertical="center"/>
    </xf>
    <xf numFmtId="0" fontId="0" fillId="9" borderId="63" xfId="0" applyFill="1" applyBorder="1" applyAlignment="1">
      <alignment horizontal="left" vertical="center" wrapText="1"/>
    </xf>
    <xf numFmtId="0" fontId="0" fillId="0" borderId="0" xfId="0" applyBorder="1" applyAlignment="1">
      <alignment horizontal="center" vertical="center"/>
    </xf>
    <xf numFmtId="0" fontId="0" fillId="0" borderId="0" xfId="0" applyBorder="1"/>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9" borderId="69" xfId="0" applyFill="1" applyBorder="1" applyAlignment="1">
      <alignment horizontal="center" vertical="center" wrapText="1"/>
    </xf>
    <xf numFmtId="0" fontId="0" fillId="9" borderId="82" xfId="0" applyFill="1" applyBorder="1" applyAlignment="1">
      <alignment horizontal="center" vertical="center" wrapText="1"/>
    </xf>
    <xf numFmtId="0" fontId="0" fillId="9" borderId="83" xfId="0" applyFill="1" applyBorder="1" applyAlignment="1">
      <alignment horizontal="center" vertical="center" wrapText="1"/>
    </xf>
    <xf numFmtId="0" fontId="0" fillId="9" borderId="84" xfId="0" applyFill="1" applyBorder="1" applyAlignment="1">
      <alignment horizontal="center" vertical="center" wrapText="1"/>
    </xf>
    <xf numFmtId="0" fontId="0" fillId="0" borderId="0" xfId="0" applyAlignment="1">
      <alignment horizontal="center" vertical="center"/>
    </xf>
    <xf numFmtId="0" fontId="3" fillId="0" borderId="1" xfId="0" applyFont="1" applyBorder="1" applyAlignment="1">
      <alignment vertical="center" wrapText="1"/>
    </xf>
    <xf numFmtId="41" fontId="44" fillId="0" borderId="1" xfId="2" applyFont="1" applyBorder="1" applyAlignment="1">
      <alignment horizontal="center" vertical="center"/>
    </xf>
    <xf numFmtId="0" fontId="44" fillId="0" borderId="1" xfId="0" applyFont="1" applyBorder="1" applyAlignment="1">
      <alignment horizontal="center" vertical="center"/>
    </xf>
    <xf numFmtId="10" fontId="44" fillId="0" borderId="1" xfId="0" applyNumberFormat="1" applyFont="1" applyBorder="1" applyAlignment="1">
      <alignment horizontal="center" vertical="center"/>
    </xf>
    <xf numFmtId="0" fontId="45" fillId="21" borderId="1" xfId="0" applyFont="1" applyFill="1" applyBorder="1" applyAlignment="1">
      <alignment horizontal="center" vertical="center"/>
    </xf>
    <xf numFmtId="167" fontId="44" fillId="0" borderId="1" xfId="2" applyNumberFormat="1" applyFont="1" applyBorder="1" applyAlignment="1">
      <alignment vertical="center"/>
    </xf>
    <xf numFmtId="167" fontId="44" fillId="0" borderId="1" xfId="2" applyNumberFormat="1" applyFont="1" applyBorder="1" applyAlignment="1">
      <alignment horizontal="center" vertical="center"/>
    </xf>
    <xf numFmtId="10" fontId="18" fillId="0" borderId="10" xfId="5" applyNumberFormat="1" applyFont="1" applyFill="1" applyBorder="1" applyAlignment="1">
      <alignment horizontal="center" vertical="center"/>
    </xf>
    <xf numFmtId="3" fontId="0" fillId="0" borderId="0" xfId="0" applyNumberFormat="1"/>
    <xf numFmtId="166" fontId="0" fillId="0" borderId="0" xfId="0" applyNumberFormat="1" applyFont="1" applyFill="1" applyBorder="1"/>
    <xf numFmtId="168" fontId="0" fillId="0" borderId="0" xfId="0" applyNumberFormat="1"/>
    <xf numFmtId="43" fontId="0" fillId="0" borderId="0" xfId="0" applyNumberFormat="1"/>
    <xf numFmtId="166" fontId="6" fillId="0" borderId="1" xfId="0" applyNumberFormat="1" applyFont="1" applyFill="1" applyBorder="1" applyAlignment="1">
      <alignment horizontal="center" vertical="center" wrapText="1"/>
    </xf>
    <xf numFmtId="0" fontId="0" fillId="15" borderId="0" xfId="0" applyFill="1" applyAlignment="1">
      <alignment vertical="center" wrapText="1"/>
    </xf>
    <xf numFmtId="0" fontId="0" fillId="19" borderId="0" xfId="0" applyFill="1" applyAlignment="1">
      <alignment vertical="center" wrapText="1"/>
    </xf>
    <xf numFmtId="0" fontId="0" fillId="19" borderId="0" xfId="0" applyFill="1" applyAlignment="1">
      <alignment horizontal="center" vertical="center" wrapText="1"/>
    </xf>
    <xf numFmtId="0" fontId="0" fillId="15" borderId="0" xfId="0" applyFill="1" applyAlignment="1">
      <alignment horizontal="center" vertical="center" wrapText="1"/>
    </xf>
    <xf numFmtId="10" fontId="6" fillId="12" borderId="6" xfId="5" applyNumberFormat="1" applyFont="1" applyFill="1" applyBorder="1" applyAlignment="1">
      <alignment horizontal="right" vertical="center" wrapText="1"/>
    </xf>
    <xf numFmtId="166" fontId="6" fillId="0" borderId="1" xfId="0" applyNumberFormat="1" applyFont="1" applyFill="1" applyBorder="1" applyAlignment="1">
      <alignment horizontal="center" vertical="center"/>
    </xf>
    <xf numFmtId="0" fontId="6" fillId="0" borderId="0" xfId="0" applyFont="1" applyAlignment="1">
      <alignment horizontal="center" vertical="center" wrapText="1"/>
    </xf>
    <xf numFmtId="0" fontId="6" fillId="19" borderId="0" xfId="0" applyFont="1" applyFill="1" applyAlignment="1">
      <alignment horizontal="center" vertical="center" wrapText="1"/>
    </xf>
    <xf numFmtId="0" fontId="0" fillId="0" borderId="7" xfId="0" applyBorder="1" applyAlignment="1">
      <alignment horizontal="left" vertical="center" wrapText="1"/>
    </xf>
    <xf numFmtId="0" fontId="0" fillId="0" borderId="3" xfId="0" applyFont="1" applyFill="1" applyBorder="1" applyAlignment="1">
      <alignment horizontal="left" vertical="center" wrapText="1"/>
    </xf>
    <xf numFmtId="10" fontId="6" fillId="22" borderId="1" xfId="5" applyNumberFormat="1" applyFont="1" applyFill="1" applyBorder="1" applyAlignment="1">
      <alignment horizontal="right" vertical="center" wrapText="1"/>
    </xf>
    <xf numFmtId="41" fontId="0" fillId="0" borderId="0" xfId="0" applyNumberFormat="1" applyFont="1" applyFill="1" applyBorder="1"/>
    <xf numFmtId="0" fontId="24" fillId="16" borderId="6" xfId="0" applyFont="1" applyFill="1" applyBorder="1" applyAlignment="1">
      <alignment horizontal="center" vertical="center" wrapText="1"/>
    </xf>
    <xf numFmtId="10" fontId="6" fillId="22" borderId="1" xfId="0" applyNumberFormat="1" applyFont="1" applyFill="1" applyBorder="1" applyAlignment="1">
      <alignment horizontal="right" vertical="center" wrapText="1"/>
    </xf>
    <xf numFmtId="0" fontId="18" fillId="0" borderId="0" xfId="0" applyFont="1" applyAlignment="1">
      <alignment horizontal="center" vertical="center" wrapText="1"/>
    </xf>
    <xf numFmtId="0" fontId="0" fillId="7" borderId="8" xfId="0" applyFill="1" applyBorder="1" applyAlignment="1">
      <alignment horizontal="center" vertical="center" wrapText="1"/>
    </xf>
    <xf numFmtId="0" fontId="0" fillId="0" borderId="1" xfId="0" applyFont="1" applyBorder="1" applyAlignment="1">
      <alignment horizontal="center" vertical="center"/>
    </xf>
    <xf numFmtId="0" fontId="0" fillId="0" borderId="11" xfId="0" applyFont="1" applyBorder="1" applyAlignment="1">
      <alignment horizontal="center" vertical="center"/>
    </xf>
    <xf numFmtId="0" fontId="10" fillId="23" borderId="28" xfId="0" applyFont="1" applyFill="1" applyBorder="1" applyAlignment="1">
      <alignment horizontal="center" vertical="center" wrapText="1"/>
    </xf>
    <xf numFmtId="0" fontId="10" fillId="23" borderId="29" xfId="0" applyFont="1" applyFill="1" applyBorder="1" applyAlignment="1">
      <alignment horizontal="center" vertical="center" wrapText="1"/>
    </xf>
    <xf numFmtId="0" fontId="10" fillId="23" borderId="77" xfId="0" applyFont="1" applyFill="1" applyBorder="1" applyAlignment="1">
      <alignment horizontal="center" vertical="center" wrapText="1"/>
    </xf>
    <xf numFmtId="0" fontId="10" fillId="23" borderId="30" xfId="0" applyFont="1" applyFill="1" applyBorder="1" applyAlignment="1">
      <alignment horizontal="center" vertical="center" wrapText="1"/>
    </xf>
    <xf numFmtId="0" fontId="0" fillId="0" borderId="0" xfId="0" applyFont="1" applyAlignment="1">
      <alignment wrapText="1"/>
    </xf>
    <xf numFmtId="0" fontId="0" fillId="0" borderId="25" xfId="0" applyFont="1" applyBorder="1" applyAlignment="1">
      <alignment horizontal="center" vertical="center" wrapText="1"/>
    </xf>
    <xf numFmtId="0" fontId="0" fillId="0" borderId="23" xfId="0" applyFont="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14" xfId="0" applyFont="1" applyBorder="1" applyAlignment="1">
      <alignment horizontal="center" vertical="center"/>
    </xf>
    <xf numFmtId="164" fontId="6" fillId="0" borderId="14" xfId="5" applyNumberFormat="1" applyFont="1" applyFill="1" applyBorder="1" applyAlignment="1">
      <alignment horizontal="center" vertical="center" wrapText="1"/>
    </xf>
    <xf numFmtId="164" fontId="6" fillId="0" borderId="11" xfId="5" applyNumberFormat="1" applyFont="1" applyFill="1" applyBorder="1" applyAlignment="1">
      <alignment horizontal="center" vertical="center" wrapText="1"/>
    </xf>
    <xf numFmtId="0" fontId="0" fillId="0" borderId="4" xfId="0" applyFont="1" applyBorder="1" applyAlignment="1">
      <alignment horizontal="center" vertical="center"/>
    </xf>
    <xf numFmtId="0" fontId="0" fillId="0" borderId="11" xfId="0" applyFont="1" applyFill="1" applyBorder="1" applyAlignment="1">
      <alignment horizontal="center" vertical="center" wrapText="1"/>
    </xf>
    <xf numFmtId="0" fontId="0" fillId="0" borderId="14"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1" xfId="0" applyFont="1" applyFill="1" applyBorder="1" applyAlignment="1">
      <alignment horizontal="center" vertical="center" wrapText="1"/>
    </xf>
    <xf numFmtId="41" fontId="7" fillId="0" borderId="1" xfId="2" applyFont="1" applyBorder="1" applyAlignment="1">
      <alignment horizontal="center" vertical="center"/>
    </xf>
    <xf numFmtId="41" fontId="7" fillId="5" borderId="1" xfId="2" applyFont="1" applyFill="1" applyBorder="1" applyAlignment="1">
      <alignment horizontal="center" vertical="center"/>
    </xf>
    <xf numFmtId="0" fontId="0" fillId="0" borderId="1" xfId="0" applyFont="1" applyFill="1" applyBorder="1" applyAlignment="1">
      <alignment horizontal="left" vertical="center" wrapText="1"/>
    </xf>
    <xf numFmtId="0" fontId="0" fillId="0" borderId="11" xfId="0" applyFont="1" applyFill="1" applyBorder="1" applyAlignment="1">
      <alignment horizontal="left" vertical="center" wrapText="1"/>
    </xf>
    <xf numFmtId="41" fontId="1" fillId="0" borderId="1" xfId="2" applyFont="1" applyBorder="1" applyAlignment="1">
      <alignment horizontal="center" vertical="center"/>
    </xf>
    <xf numFmtId="41" fontId="1" fillId="5" borderId="1" xfId="2" applyFont="1" applyFill="1" applyBorder="1" applyAlignment="1">
      <alignment horizontal="center" vertical="center"/>
    </xf>
    <xf numFmtId="10" fontId="1" fillId="0" borderId="1" xfId="5" applyNumberFormat="1" applyFont="1" applyBorder="1" applyAlignment="1">
      <alignment horizontal="center" vertical="center"/>
    </xf>
    <xf numFmtId="10" fontId="1" fillId="5" borderId="1" xfId="5" applyNumberFormat="1" applyFont="1" applyFill="1" applyBorder="1" applyAlignment="1">
      <alignment horizontal="center" vertical="center"/>
    </xf>
    <xf numFmtId="41" fontId="1" fillId="0" borderId="1" xfId="2" applyNumberFormat="1" applyFont="1" applyBorder="1" applyAlignment="1">
      <alignment horizontal="center" vertical="center"/>
    </xf>
    <xf numFmtId="41" fontId="1" fillId="5" borderId="1" xfId="2" applyNumberFormat="1" applyFont="1" applyFill="1" applyBorder="1" applyAlignment="1">
      <alignment horizontal="center" vertical="center"/>
    </xf>
    <xf numFmtId="164" fontId="46" fillId="0" borderId="1" xfId="5" applyNumberFormat="1" applyFont="1" applyFill="1" applyBorder="1" applyAlignment="1">
      <alignment horizontal="center" vertical="center" wrapText="1"/>
    </xf>
    <xf numFmtId="10" fontId="46" fillId="5" borderId="1" xfId="5" applyNumberFormat="1" applyFont="1" applyFill="1" applyBorder="1" applyAlignment="1">
      <alignment horizontal="center" vertical="center" wrapText="1"/>
    </xf>
    <xf numFmtId="10" fontId="7" fillId="0" borderId="1" xfId="5" applyNumberFormat="1" applyFont="1" applyBorder="1" applyAlignment="1">
      <alignment horizontal="center" vertical="center"/>
    </xf>
    <xf numFmtId="10" fontId="7" fillId="5" borderId="1" xfId="5" applyNumberFormat="1" applyFont="1" applyFill="1" applyBorder="1" applyAlignment="1">
      <alignment horizontal="center" vertical="center"/>
    </xf>
    <xf numFmtId="10" fontId="1" fillId="0" borderId="1" xfId="5" applyNumberFormat="1" applyFont="1" applyBorder="1" applyAlignment="1">
      <alignment horizontal="center" vertical="center" wrapText="1"/>
    </xf>
    <xf numFmtId="10" fontId="1" fillId="5" borderId="1" xfId="5" applyNumberFormat="1" applyFont="1" applyFill="1" applyBorder="1" applyAlignment="1">
      <alignment horizontal="center" vertical="center" wrapText="1"/>
    </xf>
    <xf numFmtId="0" fontId="0" fillId="0" borderId="10" xfId="0" applyFont="1" applyFill="1" applyBorder="1" applyAlignment="1">
      <alignment horizontal="left" vertical="center" wrapText="1"/>
    </xf>
    <xf numFmtId="0" fontId="0" fillId="0" borderId="10" xfId="0" applyFont="1" applyFill="1" applyBorder="1" applyAlignment="1">
      <alignment horizontal="center" vertical="center"/>
    </xf>
    <xf numFmtId="10" fontId="1" fillId="0" borderId="10" xfId="5" applyNumberFormat="1" applyFont="1" applyBorder="1" applyAlignment="1">
      <alignment horizontal="center" vertical="center"/>
    </xf>
    <xf numFmtId="10" fontId="1" fillId="5" borderId="10" xfId="5" applyNumberFormat="1" applyFont="1" applyFill="1" applyBorder="1" applyAlignment="1">
      <alignment horizontal="center" vertical="center"/>
    </xf>
    <xf numFmtId="164" fontId="6" fillId="0" borderId="10" xfId="5" applyNumberFormat="1" applyFont="1" applyFill="1" applyBorder="1" applyAlignment="1">
      <alignment horizontal="center" vertical="center" wrapText="1"/>
    </xf>
    <xf numFmtId="10" fontId="6" fillId="5" borderId="10" xfId="5" applyNumberFormat="1"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14" xfId="0" applyFont="1" applyFill="1" applyBorder="1" applyAlignment="1">
      <alignment horizontal="left" vertical="center" wrapText="1"/>
    </xf>
    <xf numFmtId="10" fontId="1" fillId="0" borderId="14" xfId="5" applyNumberFormat="1" applyFont="1" applyBorder="1" applyAlignment="1">
      <alignment horizontal="center" vertical="center"/>
    </xf>
    <xf numFmtId="10" fontId="1" fillId="5" borderId="14" xfId="5" applyNumberFormat="1" applyFont="1" applyFill="1" applyBorder="1" applyAlignment="1">
      <alignment horizontal="center" vertical="center"/>
    </xf>
    <xf numFmtId="164" fontId="46" fillId="0" borderId="5" xfId="5" applyNumberFormat="1" applyFont="1" applyFill="1" applyBorder="1" applyAlignment="1">
      <alignment horizontal="center" vertical="center" wrapText="1"/>
    </xf>
    <xf numFmtId="164" fontId="46" fillId="0" borderId="7" xfId="5" applyNumberFormat="1" applyFont="1" applyFill="1" applyBorder="1" applyAlignment="1">
      <alignment horizontal="center" vertical="center" wrapText="1"/>
    </xf>
    <xf numFmtId="10" fontId="6" fillId="5" borderId="11" xfId="5" applyNumberFormat="1" applyFont="1" applyFill="1" applyBorder="1" applyAlignment="1">
      <alignment horizontal="center" vertical="center" wrapText="1"/>
    </xf>
    <xf numFmtId="164" fontId="46" fillId="0" borderId="9" xfId="5" applyNumberFormat="1" applyFont="1" applyFill="1" applyBorder="1" applyAlignment="1">
      <alignment horizontal="center" vertical="center" wrapText="1"/>
    </xf>
    <xf numFmtId="164" fontId="46" fillId="0" borderId="24" xfId="5" applyNumberFormat="1" applyFont="1" applyFill="1" applyBorder="1" applyAlignment="1">
      <alignment horizontal="center" vertical="center" wrapText="1"/>
    </xf>
    <xf numFmtId="41" fontId="1" fillId="0" borderId="11" xfId="2" applyFont="1" applyBorder="1" applyAlignment="1">
      <alignment horizontal="center" vertical="center"/>
    </xf>
    <xf numFmtId="41" fontId="1" fillId="5" borderId="11" xfId="2" applyFont="1" applyFill="1" applyBorder="1" applyAlignment="1">
      <alignment horizontal="center" vertical="center"/>
    </xf>
    <xf numFmtId="10" fontId="1" fillId="0" borderId="0" xfId="5" applyNumberFormat="1" applyFont="1" applyFill="1" applyBorder="1" applyAlignment="1">
      <alignment horizontal="center" vertical="center"/>
    </xf>
    <xf numFmtId="41" fontId="1" fillId="0" borderId="0" xfId="2" applyFont="1" applyFill="1" applyBorder="1" applyAlignment="1">
      <alignment horizontal="center" vertical="center"/>
    </xf>
    <xf numFmtId="10" fontId="1" fillId="0" borderId="0" xfId="5" applyNumberFormat="1" applyFont="1" applyFill="1" applyBorder="1" applyAlignment="1">
      <alignment horizontal="center" vertical="center" wrapText="1"/>
    </xf>
    <xf numFmtId="41" fontId="7" fillId="0" borderId="0" xfId="2" applyFont="1" applyFill="1" applyBorder="1" applyAlignment="1">
      <alignment horizontal="center" vertical="center"/>
    </xf>
    <xf numFmtId="10" fontId="7" fillId="0" borderId="0" xfId="5" applyNumberFormat="1" applyFont="1" applyFill="1" applyBorder="1" applyAlignment="1">
      <alignment horizontal="center" vertical="center"/>
    </xf>
    <xf numFmtId="10" fontId="1" fillId="0" borderId="5" xfId="5" applyNumberFormat="1" applyFont="1" applyBorder="1" applyAlignment="1">
      <alignment horizontal="center" vertical="center"/>
    </xf>
    <xf numFmtId="10" fontId="1" fillId="0" borderId="7" xfId="5" applyNumberFormat="1" applyFont="1" applyBorder="1" applyAlignment="1">
      <alignment horizontal="center" vertical="center"/>
    </xf>
    <xf numFmtId="41" fontId="1" fillId="0" borderId="7" xfId="2" applyFont="1" applyBorder="1" applyAlignment="1">
      <alignment horizontal="center" vertical="center"/>
    </xf>
    <xf numFmtId="10" fontId="1" fillId="0" borderId="7" xfId="5" applyNumberFormat="1" applyFont="1" applyBorder="1" applyAlignment="1">
      <alignment horizontal="center" vertical="center" wrapText="1"/>
    </xf>
    <xf numFmtId="41" fontId="7" fillId="0" borderId="7" xfId="2" applyFont="1" applyBorder="1" applyAlignment="1">
      <alignment horizontal="center" vertical="center"/>
    </xf>
    <xf numFmtId="10" fontId="7" fillId="0" borderId="7" xfId="5" applyNumberFormat="1" applyFont="1" applyBorder="1" applyAlignment="1">
      <alignment horizontal="center" vertical="center"/>
    </xf>
    <xf numFmtId="41" fontId="1" fillId="0" borderId="9" xfId="2" applyFont="1" applyBorder="1" applyAlignment="1">
      <alignment horizontal="center" vertical="center"/>
    </xf>
    <xf numFmtId="10" fontId="1" fillId="0" borderId="24" xfId="5" applyNumberFormat="1" applyFont="1" applyBorder="1" applyAlignment="1">
      <alignment horizontal="center" vertical="center"/>
    </xf>
    <xf numFmtId="10" fontId="1" fillId="0" borderId="4" xfId="5" applyNumberFormat="1" applyFont="1" applyBorder="1" applyAlignment="1">
      <alignment horizontal="center" vertical="center"/>
    </xf>
    <xf numFmtId="10" fontId="1" fillId="0" borderId="6" xfId="5" applyNumberFormat="1" applyFont="1" applyBorder="1" applyAlignment="1">
      <alignment horizontal="center" vertical="center"/>
    </xf>
    <xf numFmtId="41" fontId="1" fillId="0" borderId="6" xfId="2" applyNumberFormat="1" applyFont="1" applyBorder="1" applyAlignment="1">
      <alignment horizontal="center" vertical="center"/>
    </xf>
    <xf numFmtId="10" fontId="1" fillId="0" borderId="6" xfId="5" applyNumberFormat="1" applyFont="1" applyBorder="1" applyAlignment="1">
      <alignment horizontal="center" vertical="center" wrapText="1"/>
    </xf>
    <xf numFmtId="41" fontId="7" fillId="0" borderId="6" xfId="2" applyFont="1" applyBorder="1" applyAlignment="1">
      <alignment horizontal="center" vertical="center"/>
    </xf>
    <xf numFmtId="10" fontId="7" fillId="0" borderId="6" xfId="5" applyNumberFormat="1" applyFont="1" applyBorder="1" applyAlignment="1">
      <alignment horizontal="center" vertical="center"/>
    </xf>
    <xf numFmtId="41" fontId="1" fillId="0" borderId="8" xfId="2" applyFont="1" applyBorder="1" applyAlignment="1">
      <alignment horizontal="center" vertical="center"/>
    </xf>
    <xf numFmtId="10" fontId="1" fillId="0" borderId="23" xfId="5" applyNumberFormat="1" applyFont="1" applyBorder="1" applyAlignment="1">
      <alignment horizontal="center" vertical="center"/>
    </xf>
    <xf numFmtId="41" fontId="1" fillId="0" borderId="6" xfId="2" applyFont="1" applyBorder="1" applyAlignment="1">
      <alignment horizontal="center" vertical="center"/>
    </xf>
    <xf numFmtId="0" fontId="0" fillId="0" borderId="13" xfId="0" applyFont="1" applyFill="1" applyBorder="1" applyAlignment="1">
      <alignment horizontal="center" vertical="center" wrapText="1"/>
    </xf>
    <xf numFmtId="0" fontId="0" fillId="0" borderId="21" xfId="0" applyFont="1" applyBorder="1" applyAlignment="1">
      <alignment horizontal="center" vertical="center" wrapText="1"/>
    </xf>
    <xf numFmtId="0" fontId="10" fillId="0" borderId="38" xfId="0" applyFont="1" applyFill="1" applyBorder="1" applyAlignment="1">
      <alignment horizontal="center" vertical="center" wrapText="1"/>
    </xf>
    <xf numFmtId="41" fontId="1" fillId="0" borderId="45" xfId="2" applyFont="1" applyFill="1" applyBorder="1" applyAlignment="1">
      <alignment horizontal="center" vertical="center"/>
    </xf>
    <xf numFmtId="0" fontId="0" fillId="0" borderId="0" xfId="0" applyAlignment="1">
      <alignment vertical="center" wrapText="1"/>
    </xf>
    <xf numFmtId="10" fontId="18" fillId="0" borderId="1" xfId="0" applyNumberFormat="1" applyFont="1" applyFill="1" applyBorder="1" applyAlignment="1">
      <alignment horizontal="right" vertical="center" wrapText="1"/>
    </xf>
    <xf numFmtId="0" fontId="39" fillId="18" borderId="31" xfId="0" applyFont="1" applyFill="1" applyBorder="1" applyAlignment="1">
      <alignment horizontal="center" vertical="center" wrapText="1"/>
    </xf>
    <xf numFmtId="0" fontId="39" fillId="18" borderId="85" xfId="0" applyFont="1" applyFill="1" applyBorder="1" applyAlignment="1">
      <alignment horizontal="center" vertical="center" wrapText="1"/>
    </xf>
    <xf numFmtId="0" fontId="39" fillId="18" borderId="89" xfId="0" applyFont="1" applyFill="1" applyBorder="1" applyAlignment="1">
      <alignment horizontal="center" vertical="center" wrapText="1"/>
    </xf>
    <xf numFmtId="0" fontId="39" fillId="18" borderId="32" xfId="0" applyFont="1" applyFill="1" applyBorder="1" applyAlignment="1">
      <alignment horizontal="center" vertical="center" wrapText="1"/>
    </xf>
    <xf numFmtId="0" fontId="39" fillId="18" borderId="88" xfId="0" applyFont="1" applyFill="1" applyBorder="1" applyAlignment="1">
      <alignment horizontal="center" vertical="center" wrapText="1"/>
    </xf>
    <xf numFmtId="0" fontId="39" fillId="18" borderId="33" xfId="0" applyFont="1" applyFill="1" applyBorder="1" applyAlignment="1">
      <alignment horizontal="center" vertical="center" wrapText="1"/>
    </xf>
    <xf numFmtId="0" fontId="0" fillId="9" borderId="90" xfId="0" applyFill="1" applyBorder="1" applyAlignment="1">
      <alignment horizontal="left" vertical="center" wrapText="1"/>
    </xf>
    <xf numFmtId="0" fontId="0" fillId="9" borderId="90" xfId="0" applyFill="1" applyBorder="1" applyAlignment="1">
      <alignment horizontal="center" vertical="center"/>
    </xf>
    <xf numFmtId="10" fontId="0" fillId="9" borderId="90" xfId="5" applyNumberFormat="1" applyFont="1" applyFill="1" applyBorder="1" applyAlignment="1">
      <alignment horizontal="center" vertical="center"/>
    </xf>
    <xf numFmtId="10" fontId="6" fillId="9" borderId="90" xfId="5" applyNumberFormat="1" applyFont="1" applyFill="1" applyBorder="1" applyAlignment="1">
      <alignment horizontal="center" vertical="center" wrapText="1"/>
    </xf>
    <xf numFmtId="0" fontId="6" fillId="9" borderId="90" xfId="5" applyNumberFormat="1" applyFont="1" applyFill="1" applyBorder="1" applyAlignment="1">
      <alignment horizontal="center" vertical="center" wrapText="1"/>
    </xf>
    <xf numFmtId="10" fontId="0" fillId="9" borderId="90" xfId="5" applyNumberFormat="1" applyFont="1" applyFill="1" applyBorder="1" applyAlignment="1">
      <alignment horizontal="center" vertical="center" wrapText="1"/>
    </xf>
    <xf numFmtId="41" fontId="0" fillId="9" borderId="90" xfId="2" applyNumberFormat="1" applyFont="1" applyFill="1" applyBorder="1" applyAlignment="1">
      <alignment horizontal="center" vertical="center"/>
    </xf>
    <xf numFmtId="41" fontId="0" fillId="9" borderId="90" xfId="2" applyFont="1" applyFill="1" applyBorder="1" applyAlignment="1">
      <alignment horizontal="center" vertical="center"/>
    </xf>
    <xf numFmtId="167" fontId="0" fillId="9" borderId="90" xfId="2" applyNumberFormat="1" applyFont="1" applyFill="1" applyBorder="1" applyAlignment="1">
      <alignment horizontal="center" vertical="center"/>
    </xf>
    <xf numFmtId="49" fontId="0" fillId="9" borderId="90" xfId="0" applyNumberFormat="1" applyFill="1" applyBorder="1" applyAlignment="1">
      <alignment horizontal="center" vertical="center" wrapText="1"/>
    </xf>
    <xf numFmtId="0" fontId="0" fillId="9" borderId="90" xfId="0" applyFont="1" applyFill="1" applyBorder="1" applyAlignment="1">
      <alignment horizontal="left" vertical="center" wrapText="1"/>
    </xf>
    <xf numFmtId="0" fontId="6" fillId="9" borderId="90" xfId="0" applyFont="1" applyFill="1" applyBorder="1" applyAlignment="1">
      <alignment horizontal="left" vertical="center" wrapText="1"/>
    </xf>
    <xf numFmtId="49" fontId="38" fillId="9" borderId="90" xfId="0" applyNumberFormat="1" applyFont="1" applyFill="1" applyBorder="1" applyAlignment="1">
      <alignment horizontal="center" vertical="center" wrapText="1"/>
    </xf>
    <xf numFmtId="0" fontId="17" fillId="9" borderId="90" xfId="0" applyFont="1" applyFill="1" applyBorder="1" applyAlignment="1">
      <alignment horizontal="left" vertical="center" wrapText="1"/>
    </xf>
    <xf numFmtId="41" fontId="0" fillId="9" borderId="90" xfId="2" applyFont="1" applyFill="1" applyBorder="1" applyAlignment="1">
      <alignment horizontal="center" vertical="center" wrapText="1"/>
    </xf>
    <xf numFmtId="167" fontId="0" fillId="9" borderId="90" xfId="2" applyNumberFormat="1" applyFont="1" applyFill="1" applyBorder="1" applyAlignment="1">
      <alignment horizontal="center" vertical="center" wrapText="1"/>
    </xf>
    <xf numFmtId="49" fontId="6" fillId="9" borderId="61" xfId="0" applyNumberFormat="1" applyFont="1" applyFill="1" applyBorder="1" applyAlignment="1">
      <alignment horizontal="center" vertical="center" wrapText="1"/>
    </xf>
    <xf numFmtId="9" fontId="0" fillId="0" borderId="0" xfId="5" applyFont="1"/>
    <xf numFmtId="10" fontId="6" fillId="0" borderId="14" xfId="5" applyNumberFormat="1" applyFont="1" applyFill="1" applyBorder="1" applyAlignment="1">
      <alignment horizontal="center" vertical="center" wrapText="1"/>
    </xf>
    <xf numFmtId="10" fontId="6" fillId="0" borderId="10" xfId="5" applyNumberFormat="1" applyFont="1" applyFill="1" applyBorder="1" applyAlignment="1">
      <alignment horizontal="right" vertical="center" wrapText="1"/>
    </xf>
    <xf numFmtId="165" fontId="6" fillId="0" borderId="6" xfId="0" applyNumberFormat="1" applyFont="1" applyFill="1" applyBorder="1" applyAlignment="1">
      <alignment horizontal="right" vertical="center" wrapText="1"/>
    </xf>
    <xf numFmtId="1" fontId="6" fillId="0" borderId="1" xfId="0" applyNumberFormat="1" applyFont="1" applyFill="1" applyBorder="1" applyAlignment="1">
      <alignment horizontal="center" vertical="center" wrapText="1"/>
    </xf>
    <xf numFmtId="166" fontId="6" fillId="0" borderId="6" xfId="1" applyNumberFormat="1" applyFont="1" applyFill="1" applyBorder="1" applyAlignment="1">
      <alignment horizontal="right" vertical="center" wrapText="1"/>
    </xf>
    <xf numFmtId="10" fontId="6" fillId="0" borderId="6" xfId="5" applyNumberFormat="1" applyFont="1" applyFill="1" applyBorder="1" applyAlignment="1">
      <alignment horizontal="center" vertical="center" wrapText="1"/>
    </xf>
    <xf numFmtId="10" fontId="6" fillId="0" borderId="3" xfId="1" applyNumberFormat="1" applyFont="1" applyFill="1" applyBorder="1" applyAlignment="1">
      <alignment horizontal="right" vertical="center" wrapText="1"/>
    </xf>
    <xf numFmtId="41" fontId="6" fillId="0" borderId="1" xfId="2" applyFont="1" applyFill="1" applyBorder="1" applyAlignment="1">
      <alignment horizontal="center" vertical="center" wrapText="1"/>
    </xf>
    <xf numFmtId="9" fontId="6" fillId="0" borderId="6" xfId="5" applyNumberFormat="1" applyFont="1" applyFill="1" applyBorder="1" applyAlignment="1">
      <alignment horizontal="right" vertical="center" wrapText="1"/>
    </xf>
    <xf numFmtId="9" fontId="6" fillId="0" borderId="1" xfId="5" applyNumberFormat="1" applyFont="1" applyFill="1" applyBorder="1" applyAlignment="1">
      <alignment horizontal="center" vertical="center"/>
    </xf>
    <xf numFmtId="9" fontId="6" fillId="0" borderId="1" xfId="5" applyNumberFormat="1" applyFont="1" applyFill="1" applyBorder="1" applyAlignment="1">
      <alignment horizontal="right" vertical="center" wrapText="1"/>
    </xf>
    <xf numFmtId="9" fontId="6" fillId="0" borderId="1" xfId="5" applyFont="1" applyFill="1" applyBorder="1" applyAlignment="1">
      <alignment horizontal="right" vertical="center" wrapText="1"/>
    </xf>
    <xf numFmtId="10" fontId="6" fillId="0" borderId="8" xfId="5" applyNumberFormat="1" applyFont="1" applyFill="1" applyBorder="1" applyAlignment="1">
      <alignment horizontal="right" vertical="center" wrapText="1"/>
    </xf>
    <xf numFmtId="10" fontId="6" fillId="0" borderId="11" xfId="5" applyNumberFormat="1" applyFont="1" applyFill="1" applyBorder="1" applyAlignment="1">
      <alignment horizontal="center" vertical="center"/>
    </xf>
    <xf numFmtId="10" fontId="6" fillId="0" borderId="11" xfId="5" applyNumberFormat="1" applyFont="1" applyFill="1" applyBorder="1" applyAlignment="1">
      <alignment horizontal="right" vertical="center"/>
    </xf>
    <xf numFmtId="9" fontId="6" fillId="0" borderId="6" xfId="5" applyNumberFormat="1" applyFont="1" applyFill="1" applyBorder="1" applyAlignment="1">
      <alignment horizontal="center" vertical="center" wrapText="1"/>
    </xf>
    <xf numFmtId="10" fontId="6" fillId="0" borderId="16" xfId="0" applyNumberFormat="1" applyFont="1" applyFill="1" applyBorder="1" applyAlignment="1">
      <alignment horizontal="center" vertical="center"/>
    </xf>
    <xf numFmtId="0" fontId="6" fillId="0" borderId="3" xfId="0" applyFont="1" applyFill="1" applyBorder="1" applyAlignment="1">
      <alignment horizontal="center" vertical="center" wrapText="1"/>
    </xf>
    <xf numFmtId="10" fontId="6" fillId="0" borderId="3" xfId="0" applyNumberFormat="1" applyFont="1" applyFill="1" applyBorder="1" applyAlignment="1">
      <alignment horizontal="center" vertical="center"/>
    </xf>
    <xf numFmtId="166" fontId="6" fillId="0" borderId="3" xfId="1" applyNumberFormat="1" applyFont="1" applyFill="1" applyBorder="1" applyAlignment="1">
      <alignment horizontal="center" vertical="center"/>
    </xf>
    <xf numFmtId="166" fontId="6" fillId="0" borderId="3" xfId="0" applyNumberFormat="1" applyFont="1" applyFill="1" applyBorder="1" applyAlignment="1">
      <alignment horizontal="center" vertical="center"/>
    </xf>
    <xf numFmtId="0" fontId="6" fillId="0" borderId="3" xfId="0" applyFont="1" applyFill="1" applyBorder="1" applyAlignment="1">
      <alignment horizontal="left" vertical="center" wrapText="1"/>
    </xf>
    <xf numFmtId="43" fontId="6" fillId="0" borderId="20" xfId="1" applyNumberFormat="1" applyFont="1" applyFill="1" applyBorder="1" applyAlignment="1">
      <alignment horizontal="right" vertical="center" wrapText="1"/>
    </xf>
    <xf numFmtId="10" fontId="6" fillId="0" borderId="20" xfId="3" applyNumberFormat="1" applyFont="1" applyFill="1" applyBorder="1" applyAlignment="1">
      <alignment horizontal="center" vertical="center" wrapText="1"/>
    </xf>
    <xf numFmtId="10" fontId="6" fillId="0" borderId="3" xfId="0" applyNumberFormat="1" applyFont="1" applyFill="1" applyBorder="1" applyAlignment="1">
      <alignment horizontal="center" vertical="center" wrapText="1"/>
    </xf>
    <xf numFmtId="9" fontId="6" fillId="0" borderId="3" xfId="0" applyNumberFormat="1" applyFont="1" applyFill="1" applyBorder="1" applyAlignment="1">
      <alignment vertical="center"/>
    </xf>
    <xf numFmtId="9" fontId="6" fillId="0" borderId="3" xfId="0" applyNumberFormat="1" applyFont="1" applyFill="1" applyBorder="1" applyAlignment="1">
      <alignment horizontal="center" vertical="center"/>
    </xf>
    <xf numFmtId="10" fontId="31" fillId="0" borderId="20" xfId="5" applyNumberFormat="1" applyFont="1" applyFill="1" applyBorder="1" applyAlignment="1">
      <alignment horizontal="right" vertical="center" wrapText="1"/>
    </xf>
    <xf numFmtId="41" fontId="31" fillId="0" borderId="1" xfId="2" applyFont="1" applyFill="1" applyBorder="1" applyAlignment="1" applyProtection="1">
      <alignment horizontal="center" vertical="center" wrapText="1"/>
    </xf>
    <xf numFmtId="165" fontId="6" fillId="0" borderId="3" xfId="0" applyNumberFormat="1" applyFont="1" applyFill="1" applyBorder="1" applyAlignment="1">
      <alignment horizontal="center" vertical="center" wrapText="1"/>
    </xf>
    <xf numFmtId="10" fontId="6" fillId="0" borderId="3" xfId="5" applyNumberFormat="1" applyFont="1" applyFill="1" applyBorder="1" applyAlignment="1">
      <alignment horizontal="center" vertical="center"/>
    </xf>
    <xf numFmtId="9" fontId="6" fillId="0" borderId="3" xfId="0" applyNumberFormat="1" applyFont="1" applyFill="1" applyBorder="1" applyAlignment="1">
      <alignment horizontal="center" vertical="center" wrapText="1"/>
    </xf>
    <xf numFmtId="166" fontId="6" fillId="0" borderId="3" xfId="1" applyNumberFormat="1" applyFont="1" applyFill="1" applyBorder="1" applyAlignment="1">
      <alignment vertical="center"/>
    </xf>
    <xf numFmtId="164" fontId="6" fillId="0" borderId="3" xfId="0" applyNumberFormat="1" applyFont="1" applyFill="1" applyBorder="1" applyAlignment="1">
      <alignment horizontal="center" vertical="center" wrapText="1"/>
    </xf>
    <xf numFmtId="41" fontId="6" fillId="0" borderId="3" xfId="2" applyFont="1" applyFill="1" applyBorder="1" applyAlignment="1">
      <alignment horizontal="center" vertical="center"/>
    </xf>
    <xf numFmtId="0" fontId="6" fillId="0" borderId="3" xfId="0" applyFont="1" applyFill="1" applyBorder="1" applyAlignment="1">
      <alignment horizontal="center" vertical="center"/>
    </xf>
    <xf numFmtId="3" fontId="6" fillId="0" borderId="3" xfId="0" applyNumberFormat="1" applyFont="1" applyFill="1" applyBorder="1" applyAlignment="1">
      <alignment horizontal="center" vertical="center" wrapText="1"/>
    </xf>
    <xf numFmtId="0" fontId="6" fillId="0" borderId="11" xfId="0" applyFont="1" applyFill="1" applyBorder="1" applyAlignment="1">
      <alignment horizontal="center" vertical="center"/>
    </xf>
    <xf numFmtId="0" fontId="6" fillId="0" borderId="11" xfId="0" applyFont="1" applyFill="1" applyBorder="1" applyAlignment="1">
      <alignment horizontal="center" vertical="center" wrapText="1"/>
    </xf>
    <xf numFmtId="10" fontId="6" fillId="0" borderId="17" xfId="0" applyNumberFormat="1" applyFont="1" applyFill="1" applyBorder="1" applyAlignment="1">
      <alignment horizontal="center" vertical="center"/>
    </xf>
    <xf numFmtId="10" fontId="6" fillId="0" borderId="22" xfId="3" applyNumberFormat="1" applyFont="1" applyFill="1" applyBorder="1" applyAlignment="1">
      <alignment horizontal="right" vertical="center"/>
    </xf>
    <xf numFmtId="0" fontId="6" fillId="0" borderId="17" xfId="0" applyFont="1" applyFill="1" applyBorder="1" applyAlignment="1">
      <alignment horizontal="center" vertical="center" wrapText="1"/>
    </xf>
    <xf numFmtId="9" fontId="6" fillId="0" borderId="1" xfId="4" applyNumberFormat="1" applyFont="1" applyFill="1" applyBorder="1" applyAlignment="1" applyProtection="1">
      <alignment horizontal="center" vertical="center" wrapText="1"/>
    </xf>
    <xf numFmtId="9" fontId="6" fillId="0" borderId="1" xfId="0" applyNumberFormat="1" applyFont="1" applyFill="1" applyBorder="1" applyAlignment="1">
      <alignment horizontal="center" vertical="center" wrapText="1"/>
    </xf>
    <xf numFmtId="43" fontId="6" fillId="0" borderId="6" xfId="1" applyFont="1" applyFill="1" applyBorder="1" applyAlignment="1">
      <alignment horizontal="right" vertical="center" wrapText="1"/>
    </xf>
    <xf numFmtId="9" fontId="6" fillId="0" borderId="6" xfId="5" applyFont="1" applyFill="1" applyBorder="1" applyAlignment="1">
      <alignment horizontal="center" vertical="center" wrapText="1"/>
    </xf>
    <xf numFmtId="0" fontId="5" fillId="0" borderId="11" xfId="0" applyFont="1" applyFill="1" applyBorder="1" applyAlignment="1">
      <alignment horizontal="left" vertical="center" wrapText="1"/>
    </xf>
    <xf numFmtId="0" fontId="0" fillId="0" borderId="3" xfId="0" applyFont="1" applyBorder="1" applyAlignment="1">
      <alignment horizontal="left" vertical="center" wrapText="1"/>
    </xf>
    <xf numFmtId="166" fontId="18" fillId="11" borderId="20" xfId="1" applyNumberFormat="1" applyFont="1" applyFill="1" applyBorder="1" applyAlignment="1">
      <alignment horizontal="right" vertical="center"/>
    </xf>
    <xf numFmtId="10" fontId="38" fillId="12" borderId="20" xfId="5" applyNumberFormat="1" applyFont="1" applyFill="1" applyBorder="1" applyAlignment="1">
      <alignment horizontal="right" vertical="center" wrapText="1"/>
    </xf>
    <xf numFmtId="10" fontId="6" fillId="12" borderId="1" xfId="5" applyNumberFormat="1" applyFont="1" applyFill="1" applyBorder="1" applyAlignment="1" applyProtection="1">
      <alignment horizontal="center" vertical="center" wrapText="1"/>
    </xf>
    <xf numFmtId="0" fontId="0" fillId="24" borderId="0" xfId="0" applyFill="1" applyAlignment="1">
      <alignment horizontal="center" vertical="center" wrapText="1"/>
    </xf>
    <xf numFmtId="10" fontId="18" fillId="12" borderId="20" xfId="0" applyNumberFormat="1" applyFont="1" applyFill="1" applyBorder="1" applyAlignment="1">
      <alignment horizontal="right" vertical="center" wrapText="1"/>
    </xf>
    <xf numFmtId="166" fontId="18" fillId="12" borderId="20" xfId="1" applyNumberFormat="1" applyFont="1" applyFill="1" applyBorder="1" applyAlignment="1">
      <alignment horizontal="right" vertical="center" wrapText="1"/>
    </xf>
    <xf numFmtId="0" fontId="6" fillId="15" borderId="0" xfId="0" applyFont="1" applyFill="1" applyAlignment="1">
      <alignment horizontal="center" vertical="center" wrapText="1"/>
    </xf>
    <xf numFmtId="0" fontId="6" fillId="16" borderId="6" xfId="0" applyFont="1" applyFill="1" applyBorder="1" applyAlignment="1">
      <alignment horizontal="center" vertical="center" wrapText="1"/>
    </xf>
    <xf numFmtId="166" fontId="0" fillId="0" borderId="0" xfId="0" applyNumberFormat="1"/>
    <xf numFmtId="41" fontId="0" fillId="0" borderId="0" xfId="0" applyNumberFormat="1"/>
    <xf numFmtId="0" fontId="0" fillId="9" borderId="90" xfId="0" applyFill="1" applyBorder="1" applyAlignment="1">
      <alignment horizontal="center" vertical="center" wrapText="1"/>
    </xf>
    <xf numFmtId="49" fontId="17" fillId="9" borderId="43" xfId="0" applyNumberFormat="1" applyFont="1" applyFill="1" applyBorder="1" applyAlignment="1">
      <alignment horizontal="left" vertical="center"/>
    </xf>
    <xf numFmtId="166" fontId="37" fillId="0" borderId="20" xfId="1" applyNumberFormat="1" applyFont="1" applyFill="1" applyBorder="1" applyAlignment="1">
      <alignment horizontal="right" vertical="center" wrapText="1"/>
    </xf>
    <xf numFmtId="165" fontId="0" fillId="0" borderId="0" xfId="0" applyNumberFormat="1" applyFont="1"/>
    <xf numFmtId="166" fontId="6" fillId="12" borderId="1" xfId="1" applyNumberFormat="1" applyFont="1" applyFill="1" applyBorder="1" applyAlignment="1">
      <alignment horizontal="right" vertical="center" wrapText="1"/>
    </xf>
    <xf numFmtId="10" fontId="0" fillId="9" borderId="91" xfId="5" applyNumberFormat="1" applyFont="1" applyFill="1" applyBorder="1" applyAlignment="1">
      <alignment horizontal="center" vertical="center" wrapText="1"/>
    </xf>
    <xf numFmtId="10" fontId="0" fillId="9" borderId="91" xfId="5" applyNumberFormat="1" applyFont="1" applyFill="1" applyBorder="1" applyAlignment="1">
      <alignment horizontal="center" vertical="center"/>
    </xf>
    <xf numFmtId="10" fontId="6" fillId="9" borderId="91" xfId="5" applyNumberFormat="1" applyFont="1" applyFill="1" applyBorder="1" applyAlignment="1">
      <alignment horizontal="center" vertical="center" wrapText="1"/>
    </xf>
    <xf numFmtId="41" fontId="0" fillId="9" borderId="92" xfId="2" applyFont="1" applyFill="1" applyBorder="1" applyAlignment="1">
      <alignment horizontal="center" vertical="center" wrapText="1"/>
    </xf>
    <xf numFmtId="41" fontId="0" fillId="9" borderId="92" xfId="2" applyFont="1" applyFill="1" applyBorder="1" applyAlignment="1">
      <alignment horizontal="center" vertical="center"/>
    </xf>
    <xf numFmtId="10" fontId="6" fillId="9" borderId="92" xfId="5" applyNumberFormat="1" applyFont="1" applyFill="1" applyBorder="1" applyAlignment="1">
      <alignment horizontal="center" vertical="center" wrapText="1"/>
    </xf>
    <xf numFmtId="0" fontId="0" fillId="9" borderId="91" xfId="0" applyFill="1" applyBorder="1" applyAlignment="1">
      <alignment horizontal="center" vertical="center" wrapText="1"/>
    </xf>
    <xf numFmtId="0" fontId="0" fillId="9" borderId="91" xfId="0" applyFill="1" applyBorder="1" applyAlignment="1">
      <alignment horizontal="left" vertical="center" wrapText="1"/>
    </xf>
    <xf numFmtId="0" fontId="0" fillId="9" borderId="91" xfId="0" applyFill="1" applyBorder="1" applyAlignment="1">
      <alignment horizontal="center" vertical="center"/>
    </xf>
    <xf numFmtId="0" fontId="6" fillId="9" borderId="91" xfId="5" applyNumberFormat="1" applyFont="1" applyFill="1" applyBorder="1" applyAlignment="1">
      <alignment horizontal="center" vertical="center" wrapText="1"/>
    </xf>
    <xf numFmtId="10" fontId="0" fillId="9" borderId="94" xfId="5" applyNumberFormat="1" applyFont="1" applyFill="1" applyBorder="1" applyAlignment="1">
      <alignment horizontal="center" vertical="center" wrapText="1"/>
    </xf>
    <xf numFmtId="10" fontId="0" fillId="9" borderId="96" xfId="5" applyNumberFormat="1" applyFont="1" applyFill="1" applyBorder="1" applyAlignment="1">
      <alignment horizontal="center" vertical="center" wrapText="1"/>
    </xf>
    <xf numFmtId="10" fontId="6" fillId="9" borderId="96" xfId="5" applyNumberFormat="1" applyFont="1" applyFill="1" applyBorder="1" applyAlignment="1">
      <alignment horizontal="center" vertical="center" wrapText="1"/>
    </xf>
    <xf numFmtId="0" fontId="0" fillId="9" borderId="92" xfId="0" applyFill="1" applyBorder="1" applyAlignment="1">
      <alignment horizontal="center" vertical="center" wrapText="1"/>
    </xf>
    <xf numFmtId="0" fontId="0" fillId="9" borderId="92" xfId="0" applyFill="1" applyBorder="1" applyAlignment="1">
      <alignment horizontal="left" vertical="center" wrapText="1"/>
    </xf>
    <xf numFmtId="0" fontId="0" fillId="9" borderId="92" xfId="0" applyFill="1" applyBorder="1" applyAlignment="1">
      <alignment horizontal="center" vertical="center"/>
    </xf>
    <xf numFmtId="10" fontId="0" fillId="9" borderId="92" xfId="5" applyNumberFormat="1" applyFont="1" applyFill="1" applyBorder="1" applyAlignment="1">
      <alignment horizontal="center" vertical="center"/>
    </xf>
    <xf numFmtId="10" fontId="0" fillId="9" borderId="92" xfId="5" applyNumberFormat="1" applyFont="1" applyFill="1" applyBorder="1" applyAlignment="1">
      <alignment horizontal="center" vertical="center" wrapText="1"/>
    </xf>
    <xf numFmtId="0" fontId="6" fillId="9" borderId="92" xfId="5" applyNumberFormat="1" applyFont="1" applyFill="1" applyBorder="1" applyAlignment="1">
      <alignment horizontal="center" vertical="center" wrapText="1"/>
    </xf>
    <xf numFmtId="49" fontId="0" fillId="9" borderId="92" xfId="0" applyNumberFormat="1" applyFill="1" applyBorder="1" applyAlignment="1">
      <alignment horizontal="center" vertical="center" wrapText="1"/>
    </xf>
    <xf numFmtId="10" fontId="0" fillId="9" borderId="98" xfId="5" applyNumberFormat="1" applyFont="1" applyFill="1" applyBorder="1" applyAlignment="1">
      <alignment horizontal="center" vertical="center" wrapText="1"/>
    </xf>
    <xf numFmtId="10" fontId="0" fillId="9" borderId="0" xfId="5" applyNumberFormat="1" applyFont="1" applyFill="1" applyAlignment="1">
      <alignment horizontal="center"/>
    </xf>
    <xf numFmtId="0" fontId="24" fillId="9" borderId="0" xfId="0" applyFont="1" applyFill="1" applyBorder="1" applyAlignment="1">
      <alignment horizontal="center" vertical="center" wrapText="1"/>
    </xf>
    <xf numFmtId="10" fontId="0" fillId="9" borderId="0" xfId="5" applyNumberFormat="1" applyFont="1" applyFill="1" applyBorder="1" applyAlignment="1">
      <alignment horizontal="center"/>
    </xf>
    <xf numFmtId="0" fontId="41" fillId="9" borderId="0" xfId="0" applyFont="1" applyFill="1" applyAlignment="1">
      <alignment horizontal="center" vertical="center"/>
    </xf>
    <xf numFmtId="10" fontId="0" fillId="9" borderId="0" xfId="5" applyNumberFormat="1" applyFont="1" applyFill="1" applyBorder="1" applyAlignment="1">
      <alignment horizontal="center" vertical="center"/>
    </xf>
    <xf numFmtId="0" fontId="2" fillId="0" borderId="0" xfId="0" applyFont="1" applyBorder="1" applyAlignment="1">
      <alignment horizontal="left" vertical="center"/>
    </xf>
    <xf numFmtId="0" fontId="0" fillId="0" borderId="1" xfId="0" applyFill="1" applyBorder="1" applyAlignment="1">
      <alignment horizontal="center" vertical="center"/>
    </xf>
    <xf numFmtId="0" fontId="0" fillId="0" borderId="11" xfId="0" applyFill="1" applyBorder="1" applyAlignment="1">
      <alignment horizontal="center" vertical="center"/>
    </xf>
    <xf numFmtId="0" fontId="20" fillId="0" borderId="1" xfId="0" applyFont="1" applyFill="1" applyBorder="1" applyAlignment="1">
      <alignment horizontal="left" vertical="top" wrapText="1"/>
    </xf>
    <xf numFmtId="0" fontId="20" fillId="0" borderId="11" xfId="0" applyFont="1" applyFill="1" applyBorder="1" applyAlignment="1">
      <alignment horizontal="left" vertical="center" wrapText="1"/>
    </xf>
    <xf numFmtId="0" fontId="0" fillId="0" borderId="86" xfId="0" applyFont="1" applyBorder="1" applyAlignment="1">
      <alignment horizontal="center" vertical="center"/>
    </xf>
    <xf numFmtId="0" fontId="0" fillId="0" borderId="87" xfId="0" applyFont="1" applyBorder="1" applyAlignment="1">
      <alignment horizontal="center" vertical="center"/>
    </xf>
    <xf numFmtId="0" fontId="0" fillId="0" borderId="31" xfId="0" applyFont="1" applyBorder="1" applyAlignment="1">
      <alignment horizontal="center" vertical="center"/>
    </xf>
    <xf numFmtId="0" fontId="0" fillId="0" borderId="13"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13" fillId="2" borderId="23"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39" fillId="18" borderId="40" xfId="0" applyFont="1" applyFill="1" applyBorder="1" applyAlignment="1">
      <alignment horizontal="center" vertical="center"/>
    </xf>
    <xf numFmtId="0" fontId="39" fillId="18" borderId="38" xfId="0" applyFont="1" applyFill="1" applyBorder="1" applyAlignment="1">
      <alignment horizontal="center" vertical="center"/>
    </xf>
    <xf numFmtId="0" fontId="39" fillId="18" borderId="39" xfId="0" applyFont="1" applyFill="1" applyBorder="1" applyAlignment="1">
      <alignment horizontal="center" vertical="center"/>
    </xf>
    <xf numFmtId="0" fontId="42" fillId="9" borderId="0" xfId="0" applyFont="1" applyFill="1" applyAlignment="1">
      <alignment horizontal="center"/>
    </xf>
    <xf numFmtId="0" fontId="40" fillId="9" borderId="0" xfId="0" applyFont="1" applyFill="1" applyAlignment="1">
      <alignment horizontal="center" vertical="center"/>
    </xf>
    <xf numFmtId="0" fontId="24" fillId="18" borderId="44" xfId="0" applyFont="1" applyFill="1" applyBorder="1" applyAlignment="1">
      <alignment horizontal="center" vertical="center" wrapText="1"/>
    </xf>
    <xf numFmtId="0" fontId="24" fillId="18" borderId="45" xfId="0" applyFont="1" applyFill="1" applyBorder="1" applyAlignment="1">
      <alignment horizontal="center" vertical="center" wrapText="1"/>
    </xf>
    <xf numFmtId="0" fontId="24" fillId="18" borderId="60" xfId="0" applyFont="1" applyFill="1" applyBorder="1" applyAlignment="1">
      <alignment horizontal="center" vertical="center" wrapText="1"/>
    </xf>
    <xf numFmtId="0" fontId="0" fillId="9" borderId="95" xfId="0" applyFill="1" applyBorder="1" applyAlignment="1">
      <alignment horizontal="center" vertical="center" wrapText="1"/>
    </xf>
    <xf numFmtId="0" fontId="0" fillId="9" borderId="93" xfId="0" applyFill="1" applyBorder="1" applyAlignment="1">
      <alignment horizontal="center" vertical="center" wrapText="1"/>
    </xf>
    <xf numFmtId="0" fontId="39" fillId="18" borderId="42" xfId="0" applyFont="1" applyFill="1" applyBorder="1" applyAlignment="1">
      <alignment horizontal="right" vertical="center" wrapText="1"/>
    </xf>
    <xf numFmtId="0" fontId="39" fillId="18" borderId="12" xfId="0" applyFont="1" applyFill="1" applyBorder="1" applyAlignment="1">
      <alignment horizontal="right" vertical="center" wrapText="1"/>
    </xf>
    <xf numFmtId="0" fontId="0" fillId="9" borderId="97" xfId="0" applyFill="1" applyBorder="1" applyAlignment="1">
      <alignment horizontal="center" vertical="center" wrapText="1"/>
    </xf>
    <xf numFmtId="0" fontId="0" fillId="9" borderId="72" xfId="0" applyFill="1" applyBorder="1" applyAlignment="1">
      <alignment horizontal="center" vertical="center" wrapText="1"/>
    </xf>
    <xf numFmtId="0" fontId="0" fillId="9" borderId="74" xfId="0" applyFill="1" applyBorder="1" applyAlignment="1">
      <alignment horizontal="center" vertical="center" wrapText="1"/>
    </xf>
    <xf numFmtId="0" fontId="30" fillId="12" borderId="14" xfId="0" applyFont="1" applyFill="1" applyBorder="1" applyAlignment="1">
      <alignment horizontal="center"/>
    </xf>
    <xf numFmtId="0" fontId="30" fillId="12" borderId="5" xfId="0" applyFont="1" applyFill="1" applyBorder="1" applyAlignment="1">
      <alignment horizontal="center"/>
    </xf>
    <xf numFmtId="0" fontId="30" fillId="12" borderId="4" xfId="0" applyFont="1" applyFill="1" applyBorder="1" applyAlignment="1">
      <alignment horizontal="center" vertical="center" wrapText="1"/>
    </xf>
    <xf numFmtId="0" fontId="30" fillId="12" borderId="8" xfId="0" applyFont="1" applyFill="1" applyBorder="1" applyAlignment="1">
      <alignment horizontal="center" vertical="center" wrapText="1"/>
    </xf>
    <xf numFmtId="0" fontId="30" fillId="12" borderId="4" xfId="0" applyFont="1" applyFill="1" applyBorder="1" applyAlignment="1">
      <alignment horizontal="center"/>
    </xf>
    <xf numFmtId="0" fontId="28" fillId="9" borderId="38" xfId="0" applyFont="1" applyFill="1" applyBorder="1" applyAlignment="1">
      <alignment horizontal="center"/>
    </xf>
    <xf numFmtId="0" fontId="28" fillId="9" borderId="39" xfId="0" applyFont="1" applyFill="1" applyBorder="1" applyAlignment="1">
      <alignment horizontal="center"/>
    </xf>
    <xf numFmtId="0" fontId="28" fillId="9" borderId="40" xfId="0" applyFont="1" applyFill="1" applyBorder="1" applyAlignment="1">
      <alignment horizontal="center"/>
    </xf>
    <xf numFmtId="0" fontId="35" fillId="9" borderId="0" xfId="0" applyFont="1" applyFill="1" applyAlignment="1">
      <alignment horizontal="center"/>
    </xf>
    <xf numFmtId="0" fontId="32" fillId="9" borderId="27" xfId="0" applyFont="1" applyFill="1" applyBorder="1" applyAlignment="1">
      <alignment horizontal="left" vertical="center" wrapText="1"/>
    </xf>
    <xf numFmtId="0" fontId="32" fillId="9" borderId="0" xfId="0" applyFont="1" applyFill="1" applyBorder="1" applyAlignment="1">
      <alignment horizontal="left" vertical="center" wrapText="1"/>
    </xf>
    <xf numFmtId="0" fontId="47" fillId="9" borderId="0" xfId="0" applyFont="1" applyFill="1" applyAlignment="1">
      <alignment horizontal="left" vertical="center" wrapText="1"/>
    </xf>
    <xf numFmtId="0" fontId="47" fillId="9" borderId="0" xfId="0" applyFont="1" applyFill="1" applyAlignment="1"/>
  </cellXfs>
  <cellStyles count="6">
    <cellStyle name="Millares" xfId="1" builtinId="3"/>
    <cellStyle name="Millares [0]" xfId="2" builtinId="6"/>
    <cellStyle name="Normal" xfId="0" builtinId="0"/>
    <cellStyle name="Porcentaje" xfId="5" builtinId="5"/>
    <cellStyle name="Porcentaje 2 2" xfId="4" xr:uid="{00000000-0005-0000-0000-000004000000}"/>
    <cellStyle name="Porcentaje 3" xfId="3" xr:uid="{00000000-0005-0000-0000-000005000000}"/>
  </cellStyles>
  <dxfs count="253">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FF0000"/>
      </font>
      <fill>
        <patternFill>
          <bgColor rgb="FFFFCCCC"/>
        </patternFill>
      </fill>
    </dxf>
    <dxf>
      <font>
        <color rgb="FFFF0000"/>
      </font>
      <fill>
        <patternFill>
          <bgColor rgb="FFFFCCCC"/>
        </patternFill>
      </fill>
    </dxf>
    <dxf>
      <font>
        <color rgb="FFFF0000"/>
      </font>
      <fill>
        <patternFill>
          <bgColor rgb="FFFFCCCC"/>
        </patternFill>
      </fill>
    </dxf>
    <dxf>
      <font>
        <color rgb="FFFF0000"/>
      </font>
      <fill>
        <patternFill>
          <bgColor rgb="FFFFCCCC"/>
        </patternFill>
      </fill>
    </dxf>
    <dxf>
      <font>
        <color rgb="FFFF0000"/>
      </font>
      <fill>
        <patternFill>
          <bgColor rgb="FFFFCCCC"/>
        </patternFill>
      </fill>
    </dxf>
    <dxf>
      <font>
        <color rgb="FFFF0000"/>
      </font>
      <fill>
        <patternFill>
          <bgColor rgb="FFFFCCCC"/>
        </patternFill>
      </fill>
    </dxf>
    <dxf>
      <font>
        <color rgb="FFFF0000"/>
      </font>
      <fill>
        <patternFill>
          <bgColor rgb="FFFFCCCC"/>
        </patternFill>
      </fill>
    </dxf>
    <dxf>
      <font>
        <color rgb="FFFF0000"/>
      </font>
      <fill>
        <patternFill>
          <bgColor rgb="FFFFCCCC"/>
        </patternFill>
      </fill>
    </dxf>
    <dxf>
      <font>
        <color rgb="FFFF0000"/>
      </font>
      <fill>
        <patternFill>
          <bgColor rgb="FFFFCCCC"/>
        </patternFill>
      </fill>
    </dxf>
    <dxf>
      <font>
        <color rgb="FFFF0000"/>
      </font>
      <fill>
        <patternFill>
          <bgColor rgb="FFFFCCCC"/>
        </patternFill>
      </fill>
    </dxf>
    <dxf>
      <font>
        <color rgb="FFFF0000"/>
      </font>
      <fill>
        <patternFill>
          <bgColor rgb="FFFFCCCC"/>
        </patternFill>
      </fill>
    </dxf>
    <dxf>
      <font>
        <color rgb="FFFF0000"/>
      </font>
      <fill>
        <patternFill>
          <bgColor rgb="FFFFCCCC"/>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FF0000"/>
      </font>
      <fill>
        <patternFill>
          <bgColor rgb="FFFFCCCC"/>
        </patternFill>
      </fill>
    </dxf>
    <dxf>
      <font>
        <color rgb="FFFF0000"/>
      </font>
      <fill>
        <patternFill>
          <bgColor rgb="FFFFCCCC"/>
        </patternFill>
      </fill>
    </dxf>
    <dxf>
      <font>
        <color rgb="FFFF0000"/>
      </font>
      <fill>
        <patternFill>
          <bgColor rgb="FFFFCCCC"/>
        </patternFill>
      </fill>
    </dxf>
    <dxf>
      <font>
        <color rgb="FFFF0000"/>
      </font>
      <fill>
        <patternFill>
          <bgColor rgb="FFFFCCCC"/>
        </patternFill>
      </fill>
    </dxf>
    <dxf>
      <font>
        <color rgb="FFFF0000"/>
      </font>
      <fill>
        <patternFill>
          <bgColor rgb="FFFFCCCC"/>
        </patternFill>
      </fill>
    </dxf>
    <dxf>
      <font>
        <color rgb="FFFF0000"/>
      </font>
      <fill>
        <patternFill>
          <bgColor rgb="FFFFCCCC"/>
        </patternFill>
      </fill>
    </dxf>
    <dxf>
      <font>
        <color rgb="FFFF0000"/>
      </font>
      <fill>
        <patternFill>
          <bgColor rgb="FFFFCCCC"/>
        </patternFill>
      </fill>
    </dxf>
    <dxf>
      <font>
        <color rgb="FFFF0000"/>
      </font>
      <fill>
        <patternFill>
          <bgColor rgb="FFFFCCCC"/>
        </patternFill>
      </fill>
    </dxf>
    <dxf>
      <font>
        <color rgb="FFFF0000"/>
      </font>
      <fill>
        <patternFill>
          <bgColor rgb="FFFFCCCC"/>
        </patternFill>
      </fill>
    </dxf>
    <dxf>
      <font>
        <color rgb="FFFF0000"/>
      </font>
      <fill>
        <patternFill>
          <bgColor rgb="FFFFCCCC"/>
        </patternFill>
      </fill>
    </dxf>
    <dxf>
      <font>
        <color rgb="FFFF0000"/>
      </font>
      <fill>
        <patternFill>
          <bgColor rgb="FFFFCCCC"/>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FF0000"/>
      </font>
      <fill>
        <patternFill>
          <bgColor rgb="FFFFCCCC"/>
        </patternFill>
      </fill>
    </dxf>
    <dxf>
      <font>
        <color rgb="FFFF0000"/>
      </font>
      <fill>
        <patternFill>
          <bgColor rgb="FFFFCCCC"/>
        </patternFill>
      </fill>
    </dxf>
    <dxf>
      <font>
        <color rgb="FFFF0000"/>
      </font>
      <fill>
        <patternFill>
          <bgColor rgb="FFFFCCCC"/>
        </patternFill>
      </fill>
    </dxf>
    <dxf>
      <font>
        <color rgb="FFFF0000"/>
      </font>
      <fill>
        <patternFill>
          <bgColor rgb="FFFFCCCC"/>
        </patternFill>
      </fill>
    </dxf>
    <dxf>
      <font>
        <color rgb="FFFF0000"/>
      </font>
      <fill>
        <patternFill>
          <bgColor rgb="FFFFCCCC"/>
        </patternFill>
      </fill>
    </dxf>
    <dxf>
      <font>
        <color rgb="FFFF0000"/>
      </font>
      <fill>
        <patternFill>
          <bgColor rgb="FFFFCCCC"/>
        </patternFill>
      </fill>
    </dxf>
    <dxf>
      <font>
        <color rgb="FFFF0000"/>
      </font>
      <fill>
        <patternFill>
          <bgColor rgb="FFFFCCCC"/>
        </patternFill>
      </fill>
    </dxf>
    <dxf>
      <font>
        <color rgb="FFFF0000"/>
      </font>
      <fill>
        <patternFill>
          <bgColor rgb="FFFFCCCC"/>
        </patternFill>
      </fill>
    </dxf>
    <dxf>
      <font>
        <color rgb="FFFF0000"/>
      </font>
      <fill>
        <patternFill>
          <bgColor rgb="FFFFCCCC"/>
        </patternFill>
      </fill>
    </dxf>
    <dxf>
      <font>
        <color rgb="FFFF0000"/>
      </font>
      <fill>
        <patternFill>
          <bgColor rgb="FFFFCCCC"/>
        </patternFill>
      </fill>
    </dxf>
    <dxf>
      <font>
        <color rgb="FFFF0000"/>
      </font>
      <fill>
        <patternFill>
          <bgColor rgb="FFFFCCCC"/>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patternType="solid">
          <bgColor rgb="FFFFFF00"/>
        </patternFill>
      </fill>
    </dxf>
    <dxf>
      <fill>
        <patternFill patternType="solid">
          <bgColor rgb="FFFFFF00"/>
        </patternFill>
      </fill>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s>
  <tableStyles count="0" defaultTableStyle="TableStyleMedium2" defaultPivotStyle="PivotStyleLight16"/>
  <colors>
    <mruColors>
      <color rgb="FF00504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275167</xdr:colOff>
      <xdr:row>0</xdr:row>
      <xdr:rowOff>158749</xdr:rowOff>
    </xdr:from>
    <xdr:to>
      <xdr:col>4</xdr:col>
      <xdr:colOff>1449917</xdr:colOff>
      <xdr:row>3</xdr:row>
      <xdr:rowOff>296332</xdr:rowOff>
    </xdr:to>
    <xdr:pic>
      <xdr:nvPicPr>
        <xdr:cNvPr id="3" name="x__x0000_i1025" descr="cid:image002.jpg@01D4B493.C5F07790">
          <a:extLst>
            <a:ext uri="{FF2B5EF4-FFF2-40B4-BE49-F238E27FC236}">
              <a16:creationId xmlns:a16="http://schemas.microsoft.com/office/drawing/2014/main" id="{3FBAE600-51FB-423D-8102-5B888A5661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158749"/>
          <a:ext cx="3238500" cy="709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onia Esperanza Casas Merchan" refreshedDate="43307.64356921296" createdVersion="5" refreshedVersion="6" minRefreshableVersion="3" recordCount="78" xr:uid="{00000000-000A-0000-FFFF-FFFF01000000}">
  <cacheSource type="worksheet">
    <worksheetSource ref="A4:AH82" sheet="Base Indicadores"/>
  </cacheSource>
  <cacheFields count="34">
    <cacheField name="ANALISTA OAPF" numFmtId="0">
      <sharedItems/>
    </cacheField>
    <cacheField name="DESPACHO " numFmtId="0">
      <sharedItems count="3">
        <s v="BASICA"/>
        <s v="SUPERIOR"/>
        <s v="TECNOLOGÍA"/>
      </sharedItems>
    </cacheField>
    <cacheField name="ÁREA" numFmtId="0">
      <sharedItems count="16">
        <s v="Dirección de Cobertura y Equidad EPBM"/>
        <s v="Subdirección de Acceso"/>
        <s v="Dirección de Fortalecimiento a la Gestión Territorial"/>
        <s v="Subdirección de Permanencia"/>
        <s v="Dirección de Calidad EPBM"/>
        <s v="Dirección de Calidad EPBM - Subdirección de Fomento de Competencias"/>
        <s v="Dirección de Calidad EPBM - Jornada Única"/>
        <s v="Dirección de Calidad EPBM -  PTA"/>
        <s v="Dirección de Fomento ES"/>
        <s v="Oficina de Tecnología y sistemas de información"/>
        <s v="Dirección de Fomento ES - Vicepresidencia Crédito - ICETEX"/>
        <s v="Dirección de Calidad ES"/>
        <s v="Vicepresidencia Crédito - ICETEX - Dirección de Fomento ES"/>
        <s v="Asesora del Viceministerio de Educación Preesclar Básica y Media de grupos étnicos"/>
        <s v="Dirección de Primera Infancia"/>
        <s v="Subdirección de Fomento de Competencias"/>
      </sharedItems>
    </cacheField>
    <cacheField name="TABLERO PRES." numFmtId="0">
      <sharedItems/>
    </cacheField>
    <cacheField name="Nombre del Indicador" numFmtId="0">
      <sharedItems count="81">
        <s v="Tasa de cobertura bruta en educación media"/>
        <s v="Tasa de supervivencia de grado primero a 11"/>
        <s v="Proporción de niños entre 6 y 16 años en el hogar que asisten al colegio"/>
        <s v="Tasa de deserción intra-anual de educación preescolar, básica y media"/>
        <s v="Tasa de cobertura bruta en educación media en la zona rural"/>
        <s v="Sedes rurales intervenidas con mejoramiento o construcción de infraestructura"/>
        <s v="Porcentaje de docentes que entran al magisterio que se encuentran en los quintiles superiores (4 y 5) de las pruebas SABER PRO en Razonamiento Cuantitativo"/>
        <s v="Porcentaje de docentes que entran al magisterio que se encuentran en los quintiles superiores (4 y 5) de las pruebas SABER PRO en Lectura Crítica"/>
        <s v="Tasa de analfabetismo para población de 15 años y más"/>
        <s v="Nuevos jóvenes y adultos alfabetizados"/>
        <s v="Tasa de cobertura bruta en educación media - Centro Sur"/>
        <s v="Tasa de cobertura bruta de educación media - Llanos"/>
        <s v="Estudiantes matriculados en programas de educación flexible en la región llanos"/>
        <s v="Sedes educativas rurales con Modelos Educativos Flexibles - Llanos"/>
        <s v="Tasa de cobertura bruta en educación media  - Pacífico"/>
        <s v="Estudiantes matriculados en programas de educación flexible en la región - Pacífico"/>
        <s v="Sedes educativas rurales con Modelos Educativos Flexibles - Pacífico"/>
        <s v="Tasa de cobertura bruta en educación media - Eje Cafetero"/>
        <s v="Sedes rurales oficiales intervenidas con mejoramiento o construcción de infraestructura - Eje Cafetero"/>
        <s v="Tasa de supervivencia de grado primero a once en zona rural en la región del eje cafetero"/>
        <s v="Sedes educativas rurales con Modelos Educativos Flexibles - Eje Cafetero"/>
        <s v="Tasa de cobertura bruta en educación media - Caribe"/>
        <s v="Estudiantes matriculados en programas de educación flexible en la región - Caribe"/>
        <s v="Sedes educativas de la región con Modelos Educativos Flexibles - Caribe"/>
        <s v="Personas de 15 años y más analfabetas - Caribe"/>
        <s v="Aulas nuevas y ampliadas del Plan de Infraestructura para atender Jornada Única"/>
        <s v="Tasa de cobertura bruta en educación media en San Andrés"/>
        <s v="Porcentaje de colegios oficiales en las categorias A+, A y B en las pruebas Saber 11"/>
        <s v="Porcentaje de la población evaluada en el sector oficial en las pruebas SABER 5 que sube de nivel de logro, respecto a la línea base"/>
        <s v="Porcentaje de estudiantes del sector oficial evaluados con nivel B1 o superior de inglés del Marco Común Europeo"/>
        <s v="Porcentaje de estudiantes con jornada única"/>
        <s v="Porcentaje de estudiantes en establecimientos focalizados por el Programa Todos a Aprender con niveles Satisfactorio y Avanzado en pruebas de lenguaje SABER 5"/>
        <s v="Porcentaje de estudiantes en establecimientos focalizados por el Programa Todos a Aprender en niveles Satisfactorio y Avanzado en pruebas de Matemáticas SABER 5"/>
        <s v="Docentes por tutor en el programa Todos a Aprender"/>
        <s v="Porcentaje de personas que ingresan a programas de licenciatura que están entre los puestos del 1 a 400 de la prueba SABER 11"/>
        <s v="Porcentaje de docentes oficiales de educación preescolar, básica y media con formación de postgrado"/>
        <s v="Docentes de inglés del sector oficial evaluados con nivel B2 o superior de acuerdo a los niveles del Marco Común Europeo de Referencia"/>
        <s v="Docentes formados en inglés"/>
        <s v="Porcentaje de estudiantes del sector oficial en niveles satisfactorio y avanzado pruebas SABER 5 (matemáticas) - Eje Cafetero"/>
        <s v="Tutores vinculados al Programa Todos a Aprender 2.0"/>
        <s v="Índice sintético de calidad educativa Primaria"/>
        <s v="Número de colegios oficiales en las categorias A+, A y B en las pruebas SABER 11"/>
        <s v="Número de estudiantes en el sector oficial con jornada única"/>
        <s v="Tasa de cobertura de alta calidad en educación superior"/>
        <s v="Porcentaje de matrícula oficial con conexión a internet"/>
        <s v="Estudiantes beneficiados con créditos condonables para programas profesionales de licenciatura en Instituciones Educativas Certificadas con alta calidad"/>
        <s v="Porcentaje de programas de licenciatura con acreditación de alta calidad"/>
        <s v="Porcentaje de estudiantes de licenciatura en nivel de desempeño alto (nivel 3) en pruebas de razonamiento cuantitativo de SABER PRO"/>
        <s v="Porcentaje de estudiantes de licenciatura en nivel de desempeño alto (nivel 3) en pruebas de lectura crítica de SABER PRO"/>
        <s v="Porcentaje de cupos de educación técnica y tecnológica con acreditación de alta calidad en programas e IES con acreditacion de alta calidad"/>
        <s v="Nuevos cupos en educación técnica y tecnológica"/>
        <s v="Tasa de deserción anual en educación técnica y tecnológica"/>
        <s v="Tasa de Cobertura en Educación Superior"/>
        <s v="Nuevos Cupos en Educación Superior"/>
        <s v="Departamentos con tasa de Cobertura en Educación Superior por encima del 20%"/>
        <s v="Tasa de deserción en educación superior"/>
        <s v="Estudiantes beneficiados con nuevos créditos condonables"/>
        <s v="Porcentaje de créditos nuevos de pregrado aprobados en Programas o Instituciones Educativas Certificadas con alta calidad"/>
        <s v="Docentes de Educación Superior con formación Doctoral"/>
        <s v="Ganancias en puestos de universidades colombianas en ranking internacional"/>
        <s v="Graduados en educación técnica y tecnológica en la región del eje cafetero"/>
        <s v="Nuevos cupos en educación técnica y tecnológica - Eje Cafetero"/>
        <s v="Profesionales graduados de maestría y doctorado en la región - Eje Cafetero"/>
        <s v="Estudiantes beneficiarios del Programa Ser Pilo Paga"/>
        <s v="Tasa de deserción del Programa Ser Pilo Paga"/>
        <s v="Cupos en educación superior para la población del Pueblo Rrom "/>
        <s v="Entidades territoriales (con presencia de poblacion rrom en sus EE) que cuentan con lineamientos de educación intercultural desde los usos y costumbres del Pueblo Rrom desde la primera infancia hasta la educación superior, diseñados y socializados"/>
        <s v="Programa de formación para adultos del Pueblo Rrom en el marco de usos y costumbres diseñado e implementado"/>
        <s v="Estudiantes indígenas beneficiarios de créditos del Fondo Alvaro Ulcue Chocue y otros programas de financiación"/>
        <s v="Talento humano cualificado para la atención integral a la primera infancia (MinEducación)"/>
        <s v="Porcentaje de niños y niñas atendidos en educación inicial en el marco de la atención integral que cuentan con las 8 atenciones priorizadas"/>
        <s v="Porcentaje de mujeres gestantes inscritas en las modalidades de educación inicial en el marco de la atención integral que cuentan con las 3 atenciones priorizadas"/>
        <s v="Porcentaje de talento humano cualificado vinculado a los servicios educación inicial en el marco de la atención integral."/>
        <s v=" Secretarias de Educación certificadas beneficiadas con acciones del programa de educación para la sexualidad y construcción de ciudadanía."/>
        <s v="Porcentaje de Instituciones Educativas que cuentan con el PESCC en los municipios en donde se implementa la estrategia nacional de prevención de embarazo en adolescentes. "/>
        <s v="Municipios focalizados por la estrategia nacional de prevención de embarazo en adolescentes que implementan Jornada Unica"/>
        <s v="Porcentaje de avance en la expedición de la Directiva Ministerial de Prestación del Servicio educativo, para garantizar la permanencia de adolescentes y jovenes en situación de embarazo adolescente."/>
        <s v="Porcentaje de población víctima atendida de 5 a 17 años que asisten al sistema educativo"/>
        <s v="Tasa de cobertura bruta en educación media en la zona rural_x000a__x000a_" u="1"/>
        <s v="Estudiantes beneficiados con nuevos créditos condonables " u="1"/>
        <s v="Porcentaje de docentes oficiales de educación preescolar,básica y media con formación de postgrado" u="1"/>
      </sharedItems>
    </cacheField>
    <cacheField name="TIPO INDICADOR" numFmtId="0">
      <sharedItems/>
    </cacheField>
    <cacheField name="PERIODICIDAD" numFmtId="0">
      <sharedItems/>
    </cacheField>
    <cacheField name="TIPO DE ACUMULACIÓN" numFmtId="0">
      <sharedItems/>
    </cacheField>
    <cacheField name="UNIDAD DE MEDIDA" numFmtId="0">
      <sharedItems/>
    </cacheField>
    <cacheField name="Meta Cuatrienio 2015-2018" numFmtId="0">
      <sharedItems containsMixedTypes="1" containsNumber="1" minValue="2.5000000000000001E-2" maxValue="1500000"/>
    </cacheField>
    <cacheField name="LB" numFmtId="0">
      <sharedItems containsMixedTypes="1" containsNumber="1" minValue="0" maxValue="690512"/>
    </cacheField>
    <cacheField name="META 2015" numFmtId="0">
      <sharedItems containsMixedTypes="1" containsNumber="1" minValue="0" maxValue="669101"/>
    </cacheField>
    <cacheField name="Avance _x000a_2015" numFmtId="0">
      <sharedItems containsSemiMixedTypes="0" containsString="0" containsNumber="1" minValue="0" maxValue="670974"/>
    </cacheField>
    <cacheField name="% CUMPL VS META_2015" numFmtId="0">
      <sharedItems containsBlank="1" containsMixedTypes="1" containsNumber="1" minValue="-2.2857142857142843" maxValue="4.633"/>
    </cacheField>
    <cacheField name="META 2016" numFmtId="0">
      <sharedItems containsMixedTypes="1" containsNumber="1" minValue="2.9499999999999998E-2" maxValue="711300"/>
    </cacheField>
    <cacheField name="META_ACUM2016" numFmtId="0">
      <sharedItems containsMixedTypes="1" containsNumber="1" minValue="2.9499999999999998E-2" maxValue="687411"/>
    </cacheField>
    <cacheField name="Avance _x000a_2016" numFmtId="0">
      <sharedItems containsSemiMixedTypes="0" containsString="0" containsNumber="1" minValue="-413" maxValue="667431"/>
    </cacheField>
    <cacheField name="Avance_Acum2016" numFmtId="0">
      <sharedItems containsSemiMixedTypes="0" containsString="0" containsNumber="1" minValue="0" maxValue="667431"/>
    </cacheField>
    <cacheField name="% CUMPL VS META_2016" numFmtId="0">
      <sharedItems containsSemiMixedTypes="0" containsString="0" containsNumber="1" minValue="-4.1333333333333275" maxValue="3.1441142857142856"/>
    </cacheField>
    <cacheField name="% CUMP VS META ACUMULADA" numFmtId="0">
      <sharedItems containsSemiMixedTypes="0" containsString="0" containsNumber="1" minValue="-1.0333333333333332" maxValue="3.1441142857142856"/>
    </cacheField>
    <cacheField name="META 2017" numFmtId="0">
      <sharedItems containsMixedTypes="1" containsNumber="1" minValue="2.8799999999999999E-2" maxValue="1000000"/>
    </cacheField>
    <cacheField name="META_ACUM 2017" numFmtId="0">
      <sharedItems containsMixedTypes="1" containsNumber="1" minValue="2.8799999999999999E-2" maxValue="1000000"/>
    </cacheField>
    <cacheField name="Avance _x000a_2017" numFmtId="0">
      <sharedItems containsMixedTypes="1" containsNumber="1" minValue="3.0800000000000001E-2" maxValue="730411"/>
    </cacheField>
    <cacheField name="Avance_Acum2017" numFmtId="0">
      <sharedItems containsMixedTypes="1" containsNumber="1" minValue="3.0800000000000001E-2" maxValue="730411"/>
    </cacheField>
    <cacheField name="% CUMPL VS META_2017" numFmtId="0">
      <sharedItems containsMixedTypes="1" containsNumber="1" minValue="0.04" maxValue="3.1977000000000002"/>
    </cacheField>
    <cacheField name="% CUMP VS META ACUMULADA2" numFmtId="0">
      <sharedItems containsMixedTypes="1" containsNumber="1" minValue="0.04" maxValue="2.9645120405576679"/>
    </cacheField>
    <cacheField name="MES ÚLTIMO REPORTE" numFmtId="0">
      <sharedItems containsBlank="1"/>
    </cacheField>
    <cacheField name="META 2018" numFmtId="0">
      <sharedItems containsMixedTypes="1" containsNumber="1" minValue="0" maxValue="1500000"/>
    </cacheField>
    <cacheField name="META_ACUM 2018" numFmtId="0">
      <sharedItems containsMixedTypes="1" containsNumber="1" minValue="2.5000000000000001E-2" maxValue="1500000"/>
    </cacheField>
    <cacheField name="Avance _x000a_2018" numFmtId="0">
      <sharedItems containsString="0" containsBlank="1" containsNumber="1" minValue="0" maxValue="793607"/>
    </cacheField>
    <cacheField name="Avance_Acum2018" numFmtId="0">
      <sharedItems containsString="0" containsBlank="1" containsNumber="1" minValue="0" maxValue="793607"/>
    </cacheField>
    <cacheField name="% CUMPL VS META_2018" numFmtId="0">
      <sharedItems containsString="0" containsBlank="1" containsNumber="1" minValue="0" maxValue="9.0781250000000053"/>
    </cacheField>
    <cacheField name="% CUMP VS META ACUMULADA3" numFmtId="0">
      <sharedItems containsString="0" containsBlank="1" containsNumber="1" minValue="0.24588668426025478" maxValue="5.1666666666666679"/>
    </cacheField>
    <cacheField name="REZAGO" numFmtId="0">
      <sharedItems containsMixedTypes="1" containsNumber="1" minValue="-88" maxValue="706393"/>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8">
  <r>
    <s v="Hector Flechas"/>
    <x v="0"/>
    <x v="0"/>
    <s v="NO"/>
    <x v="0"/>
    <s v="Resultado"/>
    <s v="Anual"/>
    <s v="Capacidad"/>
    <s v="Tasa"/>
    <n v="0.83"/>
    <n v="0.77300000000000002"/>
    <n v="0.79600000000000004"/>
    <n v="0.77810000000000001"/>
    <n v="0.97751256281407028"/>
    <n v="0.80400000000000005"/>
    <n v="0.80400000000000005"/>
    <n v="0.79479999999999995"/>
    <n v="0.79479999999999995"/>
    <n v="0.98855721393034812"/>
    <n v="0.98855721393034812"/>
    <n v="0.81899999999999995"/>
    <n v="0.81899999999999995"/>
    <n v="0.80110000000000003"/>
    <n v="0.80110000000000003"/>
    <n v="0.97814407814407822"/>
    <n v="0.97814407814407822"/>
    <s v="PENDIENTE"/>
    <n v="0.83"/>
    <n v="0.83"/>
    <m/>
    <m/>
    <m/>
    <m/>
    <n v="2.8899999999999926E-2"/>
  </r>
  <r>
    <s v="Hector Flechas"/>
    <x v="0"/>
    <x v="0"/>
    <s v="NO"/>
    <x v="1"/>
    <s v="Resultado"/>
    <s v="Anual"/>
    <s v="Capacidad"/>
    <s v="Tasa"/>
    <n v="0.45"/>
    <n v="0.372"/>
    <n v="0.39219999999999999"/>
    <n v="0.39700000000000002"/>
    <n v="1.0122386537480879"/>
    <n v="0.41149999999999998"/>
    <n v="0.41149999999999998"/>
    <n v="0.435"/>
    <n v="0.435"/>
    <n v="1.0571081409477521"/>
    <n v="1.0571081409477521"/>
    <n v="0.43009999999999998"/>
    <n v="0.43009999999999998"/>
    <s v="N.D."/>
    <s v="N.D."/>
    <e v="#VALUE!"/>
    <e v="#VALUE!"/>
    <s v="PENDIENTE"/>
    <n v="0.45"/>
    <n v="0.45"/>
    <m/>
    <m/>
    <m/>
    <m/>
    <e v="#VALUE!"/>
  </r>
  <r>
    <s v="Hector Flechas"/>
    <x v="0"/>
    <x v="0"/>
    <s v="NO"/>
    <x v="2"/>
    <s v="Resultado"/>
    <s v="Anual"/>
    <s v="Capacidad"/>
    <s v="Porcentaje"/>
    <n v="0.93"/>
    <n v="0.871"/>
    <n v="0.8901"/>
    <n v="0.86770000000000003"/>
    <n v="0.97483428828221552"/>
    <n v="0.91090000000000004"/>
    <n v="0.91090000000000004"/>
    <n v="0.86699999999999999"/>
    <n v="0.86699999999999999"/>
    <n v="0.95180590624656924"/>
    <n v="0.95180590624656924"/>
    <n v="0.91681999999999997"/>
    <n v="0.91681999999999997"/>
    <n v="0.86040000000000005"/>
    <n v="0.86040000000000005"/>
    <n v="0.938461202853341"/>
    <n v="0.938461202853341"/>
    <s v="PENDIENTE"/>
    <n v="0.93"/>
    <n v="0.93"/>
    <m/>
    <m/>
    <m/>
    <m/>
    <n v="6.9599999999999995E-2"/>
  </r>
  <r>
    <s v="Hector Flechas"/>
    <x v="0"/>
    <x v="0"/>
    <s v="NO"/>
    <x v="3"/>
    <s v="Resultado"/>
    <s v="Anual"/>
    <s v="Reducción"/>
    <s v="Porcentaje"/>
    <n v="2.5000000000000001E-2"/>
    <n v="3.1E-2"/>
    <n v="3.0300000000000001E-2"/>
    <n v="3.2599999999999997E-2"/>
    <n v="-2.2857142857142843"/>
    <n v="2.9499999999999998E-2"/>
    <n v="2.9499999999999998E-2"/>
    <n v="3.7199999999999997E-2"/>
    <n v="3.7199999999999997E-2"/>
    <n v="-4.1333333333333275"/>
    <n v="-1.0333333333333332"/>
    <n v="2.8799999999999999E-2"/>
    <n v="2.8799999999999999E-2"/>
    <n v="3.0800000000000001E-2"/>
    <n v="3.0800000000000001E-2"/>
    <n v="9.0909090909090329E-2"/>
    <n v="9.0909090909090329E-2"/>
    <s v="PENDIENTE"/>
    <n v="2.5000000000000001E-2"/>
    <n v="2.5000000000000001E-2"/>
    <m/>
    <m/>
    <n v="5.1666666666666679"/>
    <n v="5.1666666666666679"/>
    <n v="-5.7999999999999996E-3"/>
  </r>
  <r>
    <s v="Hector Flechas"/>
    <x v="0"/>
    <x v="0"/>
    <s v="SI"/>
    <x v="4"/>
    <s v="Resultado"/>
    <s v="Anual"/>
    <s v="Capacidad"/>
    <s v="Tasa"/>
    <n v="0.69"/>
    <n v="0.621"/>
    <n v="0.63278000000000001"/>
    <n v="0.63139999999999996"/>
    <n v="0.99781914725497001"/>
    <n v="0.65627000000000002"/>
    <n v="0.65629999999999999"/>
    <n v="0.64980000000000004"/>
    <n v="0.64980000000000004"/>
    <n v="0.9901412528380088"/>
    <n v="0.99009599268627158"/>
    <n v="0.67976000000000003"/>
    <n v="0.67976000000000003"/>
    <s v="N.D."/>
    <s v="N.D."/>
    <e v="#VALUE!"/>
    <e v="#VALUE!"/>
    <s v="PENDIENTE"/>
    <n v="0.69"/>
    <n v="0.69"/>
    <m/>
    <m/>
    <m/>
    <m/>
    <e v="#VALUE!"/>
  </r>
  <r>
    <s v="Hector Flechas"/>
    <x v="0"/>
    <x v="1"/>
    <s v="NO"/>
    <x v="5"/>
    <s v="Producto"/>
    <s v="Anual"/>
    <s v="Acumulado"/>
    <s v="Sedes rurales"/>
    <n v="1000"/>
    <n v="168"/>
    <n v="150"/>
    <n v="486"/>
    <n v="3.24"/>
    <n v="300"/>
    <n v="450"/>
    <n v="248"/>
    <n v="734"/>
    <n v="0.82666666666666666"/>
    <n v="1.6311111111111112"/>
    <n v="350"/>
    <n v="350"/>
    <s v="N.D."/>
    <s v="N.D."/>
    <e v="#VALUE!"/>
    <e v="#VALUE!"/>
    <s v="Diciembre"/>
    <n v="200"/>
    <n v="1000"/>
    <m/>
    <m/>
    <m/>
    <m/>
    <e v="#VALUE!"/>
  </r>
  <r>
    <s v="Hector Flechas"/>
    <x v="0"/>
    <x v="2"/>
    <s v="NO"/>
    <x v="6"/>
    <s v="Resultado"/>
    <s v="Anual"/>
    <s v="Capacidad"/>
    <s v="Porcentaje"/>
    <n v="0.45"/>
    <n v="0.371"/>
    <n v="0.38854"/>
    <n v="0.42159999999999997"/>
    <n v="1.0850877644515364"/>
    <n v="0.40622999999999998"/>
    <n v="0.40620000000000001"/>
    <n v="-3.9599999999999969E-2"/>
    <n v="0.38200000000000001"/>
    <n v="-9.7481722177091723E-2"/>
    <n v="0.94042343673067452"/>
    <n v="0.42392000000000002"/>
    <n v="0.42392000000000002"/>
    <s v="N.D."/>
    <s v="N.D."/>
    <e v="#VALUE!"/>
    <e v="#VALUE!"/>
    <s v="PENDIENTE"/>
    <n v="0.45"/>
    <n v="0.45"/>
    <m/>
    <m/>
    <m/>
    <m/>
    <e v="#VALUE!"/>
  </r>
  <r>
    <s v="Hector Flechas"/>
    <x v="0"/>
    <x v="2"/>
    <s v="SI"/>
    <x v="7"/>
    <s v="Resultado"/>
    <s v="Anual"/>
    <s v="Capacidad"/>
    <s v="Porcentaje"/>
    <n v="0.42"/>
    <n v="0.35699999999999998"/>
    <n v="0.37385000000000002"/>
    <n v="0.42659999999999998"/>
    <n v="1.1410993714056439"/>
    <n v="0.39087"/>
    <n v="0.39090000000000003"/>
    <n v="0.39400000000000002"/>
    <n v="0.39400000000000002"/>
    <n v="1.0080077775219383"/>
    <n v="1.0079304169864416"/>
    <n v="0.40788999999999997"/>
    <n v="0.40788999999999997"/>
    <s v="N.D."/>
    <s v="N.D."/>
    <e v="#VALUE!"/>
    <e v="#VALUE!"/>
    <s v="PENDIENTE"/>
    <n v="0.42"/>
    <n v="0.42"/>
    <m/>
    <m/>
    <m/>
    <m/>
    <n v="0.42"/>
  </r>
  <r>
    <s v="Hector Flechas"/>
    <x v="0"/>
    <x v="3"/>
    <s v="SI"/>
    <x v="8"/>
    <s v="Resultado"/>
    <s v="Anual"/>
    <s v="Reducción"/>
    <s v="Tasa"/>
    <n v="5.1700000000000003E-2"/>
    <n v="5.8099999999999999E-2"/>
    <n v="5.3539999999999997E-2"/>
    <n v="5.7500000000000002E-2"/>
    <n v="0.13157894736842021"/>
    <n v="4.897E-2"/>
    <n v="4.9000000000000002E-2"/>
    <n v="5.3499999999999999E-2"/>
    <n v="5.3499999999999999E-2"/>
    <n v="0.50383351588170866"/>
    <n v="0.71875000000000044"/>
    <n v="5.2499999999999998E-2"/>
    <n v="5.2499999999999998E-2"/>
    <n v="5.2400000000000002E-2"/>
    <n v="5.2400000000000002E-2"/>
    <n v="1.0178571428571421"/>
    <n v="1.0178571428571421"/>
    <s v="Noviembre"/>
    <n v="5.1700000000000003E-2"/>
    <n v="5.1700000000000003E-2"/>
    <n v="0"/>
    <n v="5.2400000000000002E-2"/>
    <n v="9.0781250000000053"/>
    <n v="0.890625"/>
    <n v="5.1700000000000003E-2"/>
  </r>
  <r>
    <s v="Hector Flechas"/>
    <x v="0"/>
    <x v="3"/>
    <s v="SI"/>
    <x v="9"/>
    <s v="Gestión"/>
    <s v="Anual"/>
    <s v="Flujo"/>
    <s v="Jovenes y adultos"/>
    <n v="776300"/>
    <n v="419082"/>
    <n v="540479"/>
    <n v="490659"/>
    <n v="0.90782250559226163"/>
    <n v="711300"/>
    <n v="292218"/>
    <n v="85159"/>
    <n v="575818"/>
    <n v="0.11972304231688458"/>
    <n v="1.9705083191316073"/>
    <n v="327218"/>
    <n v="746300"/>
    <n v="628452"/>
    <n v="628452"/>
    <n v="1.9205911655226791"/>
    <n v="0.84209031220688735"/>
    <s v="Noviembre"/>
    <n v="357218"/>
    <n v="776300"/>
    <m/>
    <m/>
    <m/>
    <m/>
    <n v="147848"/>
  </r>
  <r>
    <s v="Hector Flechas"/>
    <x v="0"/>
    <x v="0"/>
    <s v="NO"/>
    <x v="10"/>
    <s v="Producto"/>
    <s v="Anual"/>
    <s v="Capacidad"/>
    <s v="Tasa"/>
    <n v="0.75670000000000004"/>
    <n v="0.7147"/>
    <n v="0.71479999999999999"/>
    <n v="0.72970000000000002"/>
    <n v="1.0208449916060436"/>
    <n v="0.72319999999999995"/>
    <n v="0.72319999999999995"/>
    <n v="0.75239999999999996"/>
    <n v="0.75239999999999996"/>
    <n v="1.0403761061946903"/>
    <n v="1.0403761061946903"/>
    <n v="0.74329999999999996"/>
    <n v="0.74329999999999996"/>
    <n v="0.76570000000000005"/>
    <n v="0.76570000000000005"/>
    <n v="1.0301358805327594"/>
    <n v="1.0301358805327594"/>
    <s v="PENDIENTE"/>
    <n v="0.75670000000000004"/>
    <n v="0.75670000000000004"/>
    <m/>
    <m/>
    <m/>
    <m/>
    <n v="0.75670000000000004"/>
  </r>
  <r>
    <s v="Hector Flechas"/>
    <x v="0"/>
    <x v="0"/>
    <s v="NO"/>
    <x v="11"/>
    <s v="Resultado"/>
    <s v="Anual"/>
    <s v="Capacidad"/>
    <s v="Tasa"/>
    <n v="0.71130000000000004"/>
    <n v="0.60740000000000005"/>
    <n v="0.70697331363973004"/>
    <n v="0.73770000000000002"/>
    <n v="1.0434623001568177"/>
    <n v="0.70499999999999996"/>
    <n v="0.70499999999999996"/>
    <n v="0.75439999999999996"/>
    <n v="0.75439999999999996"/>
    <n v="1.0700709219858155"/>
    <n v="1.0700709219858155"/>
    <n v="0.70930000000000004"/>
    <n v="0.70930000000000004"/>
    <n v="0.75449999999999995"/>
    <n v="0.75449999999999995"/>
    <n v="1.0637247990977019"/>
    <n v="1.0637247990977019"/>
    <s v="PENDIENTE"/>
    <n v="0.71130000000000004"/>
    <n v="0.71130000000000004"/>
    <m/>
    <m/>
    <m/>
    <m/>
    <n v="0.71130000000000004"/>
  </r>
  <r>
    <s v="Hector Flechas"/>
    <x v="0"/>
    <x v="0"/>
    <s v="NO"/>
    <x v="12"/>
    <s v="Producto"/>
    <s v="Anual"/>
    <s v="Capacidad"/>
    <s v="Estudiantes"/>
    <n v="113658"/>
    <n v="109658"/>
    <n v="110658"/>
    <n v="102105"/>
    <n v="0.92270780241826167"/>
    <n v="111658"/>
    <n v="111658"/>
    <n v="5332"/>
    <n v="107437"/>
    <n v="4.7752959931218544E-2"/>
    <n v="0.96219706604094646"/>
    <n v="112658"/>
    <n v="112658"/>
    <n v="112959"/>
    <n v="112959"/>
    <n v="1.0026718031564559"/>
    <n v="1.0026718031564559"/>
    <s v="PENDIENTE"/>
    <n v="113658"/>
    <n v="113658"/>
    <m/>
    <m/>
    <m/>
    <m/>
    <n v="699"/>
  </r>
  <r>
    <s v="Hector Flechas"/>
    <x v="0"/>
    <x v="0"/>
    <s v="NO"/>
    <x v="13"/>
    <s v="Producto"/>
    <s v="Anual"/>
    <s v="Capacidad"/>
    <s v="Sedes educativas"/>
    <n v="311"/>
    <n v="251"/>
    <n v="275"/>
    <n v="247"/>
    <n v="0.89818181818181819"/>
    <n v="275"/>
    <n v="275"/>
    <n v="3"/>
    <n v="250"/>
    <n v="1.090909090909091E-2"/>
    <n v="0.90909090909090906"/>
    <n v="299"/>
    <n v="299"/>
    <n v="242"/>
    <n v="242"/>
    <n v="0.80936454849498329"/>
    <n v="0.80936454849498329"/>
    <s v="PENDIENTE"/>
    <n v="311"/>
    <n v="311"/>
    <m/>
    <m/>
    <m/>
    <m/>
    <n v="69"/>
  </r>
  <r>
    <s v="Hector Flechas"/>
    <x v="0"/>
    <x v="0"/>
    <s v="NO"/>
    <x v="14"/>
    <s v="Resultado"/>
    <s v="Anual"/>
    <s v="Flujo"/>
    <s v="Tasa"/>
    <n v="0.78320000000000001"/>
    <n v="0.73309999999999997"/>
    <n v="0.75700000000000001"/>
    <n v="0.73450000000000004"/>
    <n v="0.97027741083223251"/>
    <n v="0.75719999999999998"/>
    <n v="0.75719999999999998"/>
    <n v="0.73399999999999999"/>
    <n v="0.73399999999999999"/>
    <n v="0.96936080295826732"/>
    <n v="0.96936080295826732"/>
    <n v="0.7681"/>
    <n v="0.7681"/>
    <n v="0.73160000000000003"/>
    <n v="0.73160000000000003"/>
    <n v="0.95248014581434715"/>
    <n v="0.95248014581434715"/>
    <s v="PENDIENTE"/>
    <n v="0.78320000000000001"/>
    <n v="0.78320000000000001"/>
    <m/>
    <m/>
    <m/>
    <m/>
    <n v="0.78320000000000001"/>
  </r>
  <r>
    <s v="Hector Flechas"/>
    <x v="0"/>
    <x v="0"/>
    <s v="NO"/>
    <x v="15"/>
    <s v="Producto"/>
    <s v="Anual"/>
    <s v="Capacidad"/>
    <s v="Estudiantes"/>
    <n v="366740"/>
    <n v="362740"/>
    <n v="363740"/>
    <n v="336068"/>
    <n v="0.92392368175070105"/>
    <n v="364740"/>
    <n v="364740"/>
    <n v="-413"/>
    <n v="335655"/>
    <n v="-1.1323134287437627E-3"/>
    <n v="0.92025826616219775"/>
    <n v="365740"/>
    <n v="365740"/>
    <n v="327111"/>
    <n v="327111"/>
    <n v="0.89438125444304695"/>
    <n v="0.89438125444304695"/>
    <s v="PENDIENTE"/>
    <n v="366740"/>
    <n v="366740"/>
    <m/>
    <m/>
    <m/>
    <m/>
    <n v="39629"/>
  </r>
  <r>
    <s v="Hector Flechas"/>
    <x v="0"/>
    <x v="0"/>
    <s v="NO"/>
    <x v="16"/>
    <s v="Producto"/>
    <s v="Anual"/>
    <s v="Capacidad"/>
    <s v="Sedes educativas"/>
    <n v="5915"/>
    <n v="5515"/>
    <n v="5615"/>
    <n v="5661"/>
    <n v="1.0081923419412289"/>
    <n v="5715"/>
    <n v="5715"/>
    <n v="41"/>
    <n v="5702"/>
    <n v="7.1741032370953627E-3"/>
    <n v="0.99772528433945762"/>
    <n v="5815"/>
    <n v="5815"/>
    <n v="5654"/>
    <n v="5654"/>
    <n v="0.97231298366294072"/>
    <n v="0.97231298366294072"/>
    <s v="PENDIENTE"/>
    <n v="5915"/>
    <n v="5915"/>
    <m/>
    <m/>
    <m/>
    <m/>
    <n v="261"/>
  </r>
  <r>
    <s v="Hector Flechas"/>
    <x v="0"/>
    <x v="0"/>
    <s v="NO"/>
    <x v="17"/>
    <s v="Resultado"/>
    <s v="Anual"/>
    <s v="Capacidad"/>
    <s v="Tasa"/>
    <n v="0.91039999999999999"/>
    <n v="0.83819999999999995"/>
    <n v="0.86709999999999998"/>
    <n v="0.83379999999999999"/>
    <n v="0.96159612501441583"/>
    <n v="0.88149999999999995"/>
    <n v="0.88149999999999995"/>
    <n v="0.84209999999999996"/>
    <n v="0.84209999999999996"/>
    <n v="0.95530346001134436"/>
    <n v="0.95530346001134436"/>
    <n v="0.86599999999999999"/>
    <n v="0.86599999999999999"/>
    <n v="0.82850000000000001"/>
    <n v="0.82850000000000001"/>
    <n v="0.95669745958429564"/>
    <n v="0.95669745958429564"/>
    <s v="PENDIENTE"/>
    <n v="0.91039999999999999"/>
    <n v="0.91039999999999999"/>
    <m/>
    <m/>
    <m/>
    <m/>
    <n v="0.91039999999999999"/>
  </r>
  <r>
    <s v="Hector Flechas"/>
    <x v="0"/>
    <x v="1"/>
    <s v="NO"/>
    <x v="18"/>
    <s v="Producto"/>
    <s v="Anual"/>
    <s v="Capacidad"/>
    <s v="Sedes educativas"/>
    <n v="100"/>
    <n v="0"/>
    <n v="40"/>
    <n v="97"/>
    <n v="2.4249999999999998"/>
    <n v="60"/>
    <n v="60"/>
    <n v="26"/>
    <n v="123"/>
    <n v="0.43333333333333335"/>
    <n v="2.0499999999999998"/>
    <n v="80"/>
    <n v="80"/>
    <s v="N.D."/>
    <s v="N.D."/>
    <e v="#VALUE!"/>
    <e v="#VALUE!"/>
    <s v="Diciembre"/>
    <n v="100"/>
    <n v="100"/>
    <m/>
    <m/>
    <m/>
    <m/>
    <e v="#VALUE!"/>
  </r>
  <r>
    <s v="Hector Flechas"/>
    <x v="0"/>
    <x v="0"/>
    <s v="NO"/>
    <x v="19"/>
    <s v="Resultado"/>
    <s v="Anual"/>
    <s v="Capacidad"/>
    <s v="Tasa"/>
    <n v="0.189"/>
    <n v="0.16930000000000001"/>
    <n v="0.17399999999999999"/>
    <n v="0.1981"/>
    <n v="1.1385057471264368"/>
    <n v="0.17899999999999999"/>
    <n v="0.17899999999999999"/>
    <n v="0"/>
    <n v="0"/>
    <n v="0"/>
    <n v="0"/>
    <n v="0.184"/>
    <n v="0.184"/>
    <s v="N.D."/>
    <s v="N.D."/>
    <e v="#VALUE!"/>
    <e v="#VALUE!"/>
    <s v="PENDIENTE 2016 Y 2017"/>
    <n v="0.189"/>
    <n v="0.189"/>
    <m/>
    <m/>
    <m/>
    <m/>
    <e v="#VALUE!"/>
  </r>
  <r>
    <s v="Hector Flechas"/>
    <x v="0"/>
    <x v="0"/>
    <s v="NO"/>
    <x v="20"/>
    <s v="Producto"/>
    <s v="Anual"/>
    <s v="Capacidad"/>
    <s v="Sedes educativas"/>
    <n v="812"/>
    <n v="784"/>
    <n v="796"/>
    <n v="782"/>
    <n v="0.98241206030150752"/>
    <n v="801"/>
    <n v="801"/>
    <n v="19"/>
    <n v="801"/>
    <n v="2.3720349563046191E-2"/>
    <n v="1"/>
    <n v="807"/>
    <n v="807"/>
    <n v="800"/>
    <n v="800"/>
    <n v="0.99132589838909546"/>
    <n v="0.99132589838909546"/>
    <s v="PENDIENTE"/>
    <n v="812"/>
    <n v="812"/>
    <m/>
    <m/>
    <m/>
    <m/>
    <n v="12"/>
  </r>
  <r>
    <s v="Hector Flechas"/>
    <x v="0"/>
    <x v="0"/>
    <s v="NO"/>
    <x v="21"/>
    <s v="Resultado"/>
    <s v="Anual"/>
    <s v="Capacidad"/>
    <s v="Tasa"/>
    <n v="0.77090000000000003"/>
    <n v="0.72860000000000003"/>
    <n v="0.74319999999999997"/>
    <n v="0.73050000000000004"/>
    <n v="0.98291173304628643"/>
    <n v="0.74990000000000001"/>
    <n v="0.74990000000000001"/>
    <n v="0.76849999999999996"/>
    <n v="0.76849999999999996"/>
    <n v="1.0248033071076144"/>
    <n v="1.0248033071076144"/>
    <n v="0.76139999999999997"/>
    <n v="0.76139999999999997"/>
    <n v="0.7772"/>
    <n v="0.7772"/>
    <n v="1.0207512477016023"/>
    <n v="1.0207512477016023"/>
    <s v="PENDIENTE"/>
    <n v="0.77090000000000003"/>
    <n v="0.77090000000000003"/>
    <m/>
    <m/>
    <m/>
    <m/>
    <n v="0.77090000000000003"/>
  </r>
  <r>
    <s v="Hector Flechas"/>
    <x v="0"/>
    <x v="0"/>
    <s v="NO"/>
    <x v="22"/>
    <s v="Producto"/>
    <s v="Anual"/>
    <s v="Capacidad"/>
    <s v="Estudiantes"/>
    <n v="582001"/>
    <n v="432372"/>
    <n v="494798"/>
    <n v="397378"/>
    <n v="0.80311157280344703"/>
    <n v="496798"/>
    <n v="496798"/>
    <n v="22480"/>
    <n v="419858"/>
    <n v="4.5249779588484654E-2"/>
    <n v="0.84512820099919883"/>
    <n v="498798"/>
    <n v="498798"/>
    <n v="404271"/>
    <n v="404271"/>
    <n v="0.81049041896719709"/>
    <n v="0.81049041896719709"/>
    <s v="PENDIENTE"/>
    <n v="582001"/>
    <n v="582001"/>
    <m/>
    <m/>
    <m/>
    <m/>
    <n v="177730"/>
  </r>
  <r>
    <s v="Hector Flechas"/>
    <x v="0"/>
    <x v="0"/>
    <s v="NO"/>
    <x v="23"/>
    <s v="Gestión"/>
    <s v="Anual"/>
    <s v="Flujo"/>
    <s v="Sedes educativas"/>
    <n v="3869"/>
    <n v="5258"/>
    <n v="3794"/>
    <n v="3832"/>
    <n v="1.0100158144438587"/>
    <n v="3819"/>
    <n v="3819"/>
    <n v="4042"/>
    <n v="4042"/>
    <n v="1.0583922492799163"/>
    <n v="1.0583922492799163"/>
    <n v="3844"/>
    <n v="3844"/>
    <n v="4525"/>
    <n v="4525"/>
    <n v="1.1771592091571279"/>
    <n v="1.1771592091571279"/>
    <s v="PENDIENTE"/>
    <n v="3869"/>
    <n v="3869"/>
    <m/>
    <m/>
    <m/>
    <m/>
    <n v="0"/>
  </r>
  <r>
    <s v="Hector Flechas"/>
    <x v="0"/>
    <x v="0"/>
    <s v="NO"/>
    <x v="24"/>
    <s v="Gestión"/>
    <s v="Anual"/>
    <s v="Reducción"/>
    <s v="Personas"/>
    <n v="553408"/>
    <n v="690512"/>
    <n v="669101"/>
    <n v="670974"/>
    <n v="0.91252160104619118"/>
    <n v="639206"/>
    <n v="639206"/>
    <n v="667431"/>
    <n v="667431"/>
    <n v="0.44986941098507"/>
    <n v="0.16834665655268993"/>
    <n v="603443"/>
    <n v="603443"/>
    <s v="N.D."/>
    <s v="N.D."/>
    <e v="#VALUE!"/>
    <e v="#VALUE!"/>
    <s v="PENDIENTE"/>
    <n v="553408"/>
    <n v="553408"/>
    <m/>
    <m/>
    <n v="5.0364103162562728"/>
    <n v="5.0364103162562728"/>
    <e v="#VALUE!"/>
  </r>
  <r>
    <s v="Hector Flechas"/>
    <x v="0"/>
    <x v="1"/>
    <s v="SI"/>
    <x v="25"/>
    <s v="Producto"/>
    <s v="Trimestral"/>
    <s v="Capacidad"/>
    <s v="Aulas"/>
    <n v="30693"/>
    <n v="0"/>
    <n v="1562"/>
    <n v="1977"/>
    <n v="1.265685019206146"/>
    <n v="2722"/>
    <n v="4284"/>
    <n v="2234"/>
    <n v="4211"/>
    <n v="0.82072005878030863"/>
    <n v="0.98295985060690938"/>
    <n v="8064"/>
    <n v="10298"/>
    <n v="2747"/>
    <n v="6958"/>
    <n v="0.34064980158730157"/>
    <n v="0.67566517770440859"/>
    <s v="Diciembre"/>
    <n v="20395"/>
    <n v="30693"/>
    <n v="589"/>
    <n v="7547"/>
    <n v="2.8879627359646973E-2"/>
    <n v="0.24588668426025478"/>
    <n v="23146"/>
  </r>
  <r>
    <s v="Hector Flechas"/>
    <x v="0"/>
    <x v="0"/>
    <s v="NO"/>
    <x v="26"/>
    <s v="Producto"/>
    <s v="Anual"/>
    <s v="Flujo"/>
    <s v="Tasa"/>
    <n v="0.7107"/>
    <n v="0.61980000000000002"/>
    <n v="0.5766"/>
    <n v="0.58809999999999996"/>
    <n v="1.0199445022545959"/>
    <n v="0.5766"/>
    <n v="0.5766"/>
    <n v="0.5706"/>
    <n v="0.5706"/>
    <n v="0.98959417273673256"/>
    <n v="0.98959417273673256"/>
    <n v="0.57720000000000005"/>
    <n v="0.57720000000000005"/>
    <n v="0.55569999999999997"/>
    <n v="0.55569999999999997"/>
    <n v="0.96275121275121267"/>
    <n v="0.96275121275121267"/>
    <s v="PENDIENTE"/>
    <n v="0.57789999999999997"/>
    <n v="0.57789999999999997"/>
    <m/>
    <m/>
    <m/>
    <m/>
    <n v="0.7107"/>
  </r>
  <r>
    <s v="Carlos Carreño"/>
    <x v="0"/>
    <x v="4"/>
    <s v="SI"/>
    <x v="27"/>
    <s v="Resultado"/>
    <s v="Semestral"/>
    <s v="Capacidad"/>
    <s v="Porcentaje"/>
    <n v="0.45"/>
    <n v="0.33300000000000002"/>
    <n v="0.34899999999999998"/>
    <n v="0.34"/>
    <n v="0.97421203438395432"/>
    <n v="0.36899999999999999"/>
    <n v="0.36899999999999999"/>
    <n v="0.41399999999999998"/>
    <n v="0.41399999999999998"/>
    <n v="1.121951219512195"/>
    <n v="1.121951219512195"/>
    <n v="0.42099999999999999"/>
    <n v="0.42099999999999999"/>
    <n v="0.45400000000000001"/>
    <n v="0.45400000000000001"/>
    <n v="1.0783847980997625"/>
    <n v="1.0783847980997625"/>
    <m/>
    <n v="0.45"/>
    <n v="0.45"/>
    <n v="0"/>
    <n v="0.45400000000000001"/>
    <n v="0"/>
    <n v="1.0088888888888889"/>
    <n v="-4.0000000000000036E-3"/>
  </r>
  <r>
    <s v="Carlos Carreño"/>
    <x v="0"/>
    <x v="4"/>
    <s v="SI"/>
    <x v="28"/>
    <s v="Gestión"/>
    <s v="Anual"/>
    <s v="Capacidad"/>
    <s v="Porcentaje"/>
    <n v="0.12"/>
    <n v="0"/>
    <n v="0.03"/>
    <n v="2.9499999999999998E-2"/>
    <n v="0.98333333333333328"/>
    <n v="0.06"/>
    <n v="0.06"/>
    <n v="6.25E-2"/>
    <n v="6.25E-2"/>
    <n v="1.0416666666666667"/>
    <n v="1.0416666666666667"/>
    <n v="0.09"/>
    <n v="0.09"/>
    <s v="N.D."/>
    <s v="N.D."/>
    <e v="#VALUE!"/>
    <e v="#VALUE!"/>
    <s v="PENDIENTE"/>
    <n v="0.12"/>
    <n v="0.12"/>
    <n v="6.25E-2"/>
    <n v="6.25E-2"/>
    <m/>
    <m/>
    <e v="#VALUE!"/>
  </r>
  <r>
    <s v="Carlos Carreño"/>
    <x v="0"/>
    <x v="5"/>
    <s v="NO"/>
    <x v="29"/>
    <s v="Resultado"/>
    <s v="Anual"/>
    <s v="Capacidad"/>
    <s v="Porcentaje"/>
    <n v="0.08"/>
    <n v="2.2599999999999999E-2"/>
    <n v="0.03"/>
    <n v="3.2000000000000001E-2"/>
    <n v="1.0666666666666667"/>
    <n v="0.04"/>
    <n v="0.04"/>
    <n v="2.4E-2"/>
    <n v="5.6000000000000001E-2"/>
    <n v="0.6"/>
    <n v="1.4"/>
    <n v="0.06"/>
    <n v="0.06"/>
    <n v="4.7500000000000001E-2"/>
    <n v="4.7500000000000001E-2"/>
    <n v="0.79166666666666674"/>
    <n v="0.79166666666666674"/>
    <s v="Diciembre (preliminar)"/>
    <n v="0.08"/>
    <n v="0.08"/>
    <m/>
    <m/>
    <m/>
    <m/>
    <n v="3.2500000000000001E-2"/>
  </r>
  <r>
    <s v="Carlos Carreño"/>
    <x v="0"/>
    <x v="6"/>
    <s v="SI"/>
    <x v="30"/>
    <s v="Producto"/>
    <s v="Trimestral"/>
    <s v="Capacidad"/>
    <s v="Porcentaje"/>
    <n v="0.2"/>
    <n v="0"/>
    <n v="0.04"/>
    <n v="4.6047929010066026E-2"/>
    <n v="1.1511982252516506"/>
    <n v="0.09"/>
    <n v="0.09"/>
    <n v="6.9900000000000004E-2"/>
    <n v="6.9900000000000004E-2"/>
    <n v="0.77666666666666673"/>
    <n v="0.77666666666666673"/>
    <n v="0.13"/>
    <n v="0.13"/>
    <n v="0.10009999999999999"/>
    <n v="0.10009999999999999"/>
    <n v="0.76999999999999991"/>
    <n v="0.76999999999999991"/>
    <s v="Diciembre"/>
    <n v="0.2"/>
    <n v="0.2"/>
    <n v="0.1077"/>
    <n v="0.1077"/>
    <n v="0.53849999999999998"/>
    <n v="0.53849999999999998"/>
    <n v="9.2300000000000007E-2"/>
  </r>
  <r>
    <s v="Carlos Carreño"/>
    <x v="0"/>
    <x v="7"/>
    <s v="NO"/>
    <x v="31"/>
    <s v="Resultado"/>
    <s v="Anual"/>
    <s v="Capacidad"/>
    <s v="Porcentaje"/>
    <n v="0.309"/>
    <n v="0.27700000000000002"/>
    <n v="0.28499999999999998"/>
    <n v="0.26400000000000001"/>
    <n v="0.92631578947368431"/>
    <n v="0.29299999999999998"/>
    <n v="0.29299999999999998"/>
    <n v="0.35720000000000002"/>
    <n v="0.35720000000000002"/>
    <n v="1.2191126279863482"/>
    <n v="1.2191126279863482"/>
    <n v="0.30099999999999999"/>
    <n v="0.30099999999999999"/>
    <n v="0.32129999999999997"/>
    <n v="0.32129999999999997"/>
    <n v="1.0674418604651161"/>
    <n v="1.0674418604651161"/>
    <s v="PENDIENTE"/>
    <n v="0.309"/>
    <n v="0.309"/>
    <m/>
    <m/>
    <m/>
    <m/>
    <n v="0"/>
  </r>
  <r>
    <s v="Carlos Carreño"/>
    <x v="0"/>
    <x v="7"/>
    <s v="NO"/>
    <x v="32"/>
    <s v="Gestión"/>
    <s v="Anual"/>
    <s v="Capacidad"/>
    <s v="Porcentaje"/>
    <n v="0.29899999999999999"/>
    <n v="0.217"/>
    <n v="0.23799999999999999"/>
    <n v="0.2326"/>
    <n v="0.97731092436974798"/>
    <n v="0.25800000000000001"/>
    <n v="0.25800000000000001"/>
    <n v="0.29870000000000002"/>
    <n v="0.29870000000000002"/>
    <n v="1.1577519379844963"/>
    <n v="1.1577519379844963"/>
    <n v="0.27900000000000003"/>
    <n v="0.27900000000000003"/>
    <n v="0.2084"/>
    <n v="0.2084"/>
    <n v="0.74695340501792107"/>
    <n v="0.74695340501792107"/>
    <s v="PENDIENTE"/>
    <n v="0.29899999999999999"/>
    <n v="0.29899999999999999"/>
    <m/>
    <m/>
    <m/>
    <m/>
    <n v="9.0599999999999986E-2"/>
  </r>
  <r>
    <s v="Carlos Carreño"/>
    <x v="0"/>
    <x v="7"/>
    <s v="SI"/>
    <x v="33"/>
    <s v="Resultado"/>
    <s v="Anual"/>
    <s v="Reducción"/>
    <s v="Razon"/>
    <n v="20"/>
    <n v="27"/>
    <n v="26"/>
    <n v="24"/>
    <n v="3"/>
    <n v="24"/>
    <n v="24"/>
    <n v="26.11"/>
    <n v="26.11"/>
    <n v="0.29666666666666686"/>
    <n v="0.12714285714285722"/>
    <n v="22"/>
    <n v="22"/>
    <n v="22.98"/>
    <n v="22.98"/>
    <n v="0.80399999999999994"/>
    <n v="0.80399999999999994"/>
    <s v="Diciembre (preliminar)"/>
    <n v="20"/>
    <n v="20"/>
    <m/>
    <m/>
    <n v="3.8571428571428572"/>
    <n v="3.8571428571428572"/>
    <n v="20"/>
  </r>
  <r>
    <s v="Carlos Carreño"/>
    <x v="0"/>
    <x v="4"/>
    <s v="NO"/>
    <x v="34"/>
    <s v="Resultado"/>
    <s v="Anual"/>
    <s v="Capacidad"/>
    <s v="Porcentaje"/>
    <n v="0.75"/>
    <n v="0.53100000000000003"/>
    <n v="0.58599999999999997"/>
    <n v="0.52769999999999995"/>
    <n v="0.90051194539249146"/>
    <n v="0.64100000000000001"/>
    <n v="0.64100000000000001"/>
    <n v="4.8800000000000066E-2"/>
    <n v="0.57650000000000001"/>
    <n v="7.6131045241809775E-2"/>
    <n v="0.89937597503900157"/>
    <n v="0.69599999999999995"/>
    <n v="0.69599999999999995"/>
    <n v="0.57699999999999996"/>
    <n v="0.57699999999999996"/>
    <n v="0.82902298850574707"/>
    <n v="0.82902298850574707"/>
    <s v="PENDIENTE"/>
    <n v="0.75"/>
    <n v="0.75"/>
    <m/>
    <m/>
    <m/>
    <m/>
    <n v="0.17300000000000004"/>
  </r>
  <r>
    <s v="Carlos Carreño"/>
    <x v="0"/>
    <x v="4"/>
    <s v="SI"/>
    <x v="35"/>
    <s v="Producto"/>
    <s v="Anual"/>
    <s v="Capacidad"/>
    <s v="Porcentaje"/>
    <s v="38%_x000a_eran 17.000 se ajustó a 8.110"/>
    <n v="0.29399999999999998"/>
    <s v="31,20% _x000a_eran 3.000 se solicitó cambio por 2.890"/>
    <n v="0.32"/>
    <n v="1.0256410256410258"/>
    <s v="33% eran 4.666 se solicitó cambio por 4.220"/>
    <s v="33%_x000a_eran 4.666 se solicitó cambio por 4.220"/>
    <n v="0.40799999999999997"/>
    <n v="0.40799999999999997"/>
    <n v="1.2363636363636363"/>
    <n v="1.2363636363636363"/>
    <s v="36,6%_x000a_500"/>
    <s v="36,60%_x000a_7610"/>
    <s v="42,93%_x000a_7.110"/>
    <s v="42,93%_x000a_7.110"/>
    <n v="1.1729508196721312"/>
    <e v="#VALUE!"/>
    <s v="PENDIENTE"/>
    <s v="38%_x000a_500"/>
    <s v="38%_x000a_8.110"/>
    <n v="0.42930000000000001"/>
    <n v="0.42930000000000001"/>
    <m/>
    <m/>
    <n v="0.38"/>
  </r>
  <r>
    <s v="Carlos Carreño"/>
    <x v="0"/>
    <x v="4"/>
    <s v="NO"/>
    <x v="36"/>
    <s v="Gestión"/>
    <s v="Anual"/>
    <s v="Capacidad"/>
    <s v="Porcentaje"/>
    <n v="0.22"/>
    <n v="0"/>
    <n v="0.05"/>
    <n v="7.0000000000000007E-2"/>
    <n v="1.4000000000000001"/>
    <n v="0.09"/>
    <n v="0.09"/>
    <n v="3.4999999999999989E-2"/>
    <n v="0.105"/>
    <n v="0.38888888888888878"/>
    <n v="1.1666666666666667"/>
    <n v="0.15"/>
    <n v="0.15"/>
    <n v="0.14000000000000001"/>
    <n v="0.14000000000000001"/>
    <n v="0.93333333333333346"/>
    <n v="0.93333333333333346"/>
    <s v="Diciembre"/>
    <n v="0.22"/>
    <n v="0.22"/>
    <m/>
    <m/>
    <m/>
    <m/>
    <n v="7.9999999999999988E-2"/>
  </r>
  <r>
    <s v="Carlos Carreño"/>
    <x v="0"/>
    <x v="4"/>
    <s v="NO"/>
    <x v="37"/>
    <s v="Producto"/>
    <s v="Anual"/>
    <s v="Acumulado"/>
    <s v="Docentes"/>
    <n v="8000"/>
    <n v="5703"/>
    <n v="1000"/>
    <n v="1263"/>
    <n v="1.2629999999999999"/>
    <n v="2335"/>
    <n v="2335"/>
    <n v="3713"/>
    <n v="4976"/>
    <n v="1.5901498929336189"/>
    <n v="2.131049250535332"/>
    <n v="2367"/>
    <n v="2367"/>
    <n v="7017"/>
    <n v="7017"/>
    <n v="2.9645120405576679"/>
    <n v="2.9645120405576679"/>
    <s v="Diciembre (preliminar)"/>
    <n v="2298"/>
    <n v="8000"/>
    <m/>
    <m/>
    <m/>
    <m/>
    <n v="0"/>
  </r>
  <r>
    <s v="Carlos Carreño"/>
    <x v="0"/>
    <x v="4"/>
    <s v="NO"/>
    <x v="38"/>
    <s v="Gestión"/>
    <s v="Anual"/>
    <s v="Flujo"/>
    <s v="Porcentaje"/>
    <n v="0.1196"/>
    <n v="9.4E-2"/>
    <n v="0.10050000000000001"/>
    <n v="9.0999999999999998E-2"/>
    <n v="0.90547263681592027"/>
    <n v="0.1069"/>
    <n v="0.1069"/>
    <n v="9.5000000000000084E-3"/>
    <n v="0.10050000000000001"/>
    <n v="8.8868101028999141E-2"/>
    <n v="0.94013096351730596"/>
    <n v="0.1132"/>
    <n v="0.1132"/>
    <s v="N.D."/>
    <s v="N.D."/>
    <e v="#VALUE!"/>
    <e v="#VALUE!"/>
    <s v="PENDIENTE"/>
    <n v="0.1196"/>
    <n v="0.1196"/>
    <m/>
    <m/>
    <m/>
    <m/>
    <e v="#VALUE!"/>
  </r>
  <r>
    <s v="Carlos Carreño"/>
    <x v="0"/>
    <x v="7"/>
    <s v="SI"/>
    <x v="39"/>
    <s v="Producto"/>
    <s v="Bimestral"/>
    <s v="Capacidad"/>
    <s v="Tutores"/>
    <n v="4350"/>
    <n v="2889"/>
    <n v="3400"/>
    <n v="3842"/>
    <n v="1.1299999999999999"/>
    <n v="3700"/>
    <n v="3700"/>
    <n v="4230"/>
    <n v="4230"/>
    <n v="1.1432432432432433"/>
    <n v="1.1432432432432433"/>
    <n v="4000"/>
    <n v="4000"/>
    <n v="4059"/>
    <n v="4059"/>
    <n v="1.01475"/>
    <n v="1.01475"/>
    <s v="Diciembre"/>
    <n v="4350"/>
    <n v="4350"/>
    <n v="3998"/>
    <n v="3998"/>
    <m/>
    <m/>
    <n v="291"/>
  </r>
  <r>
    <s v="Carlos Carreño"/>
    <x v="0"/>
    <x v="4"/>
    <s v="SI"/>
    <x v="40"/>
    <s v="Resultado"/>
    <s v="Anual"/>
    <s v="Capacidad"/>
    <s v="Índice"/>
    <n v="5.6090000000000001E-2"/>
    <n v="5.0700000000000002E-2"/>
    <n v="5.0709999999999998E-2"/>
    <n v="5.4199999999999998E-2"/>
    <n v="1.0688227174127392"/>
    <n v="5.2449999999999997E-2"/>
    <n v="5.2449999999999997E-2"/>
    <n v="5.6500000000000002E-2"/>
    <n v="5.6500000000000002E-2"/>
    <n v="1.0772163965681603"/>
    <n v="1.0772163965681603"/>
    <n v="5.3999999999999999E-2"/>
    <n v="5.3999999999999999E-2"/>
    <s v="N.D."/>
    <s v="N.D."/>
    <e v="#VALUE!"/>
    <e v="#VALUE!"/>
    <s v="PENDIENTE"/>
    <n v="5.6099999999999997E-2"/>
    <n v="5.6090000000000001E-2"/>
    <n v="0"/>
    <n v="0"/>
    <m/>
    <m/>
    <e v="#VALUE!"/>
  </r>
  <r>
    <s v="Carlos Carreño"/>
    <x v="0"/>
    <x v="4"/>
    <s v="SI"/>
    <x v="41"/>
    <s v="Resultado"/>
    <s v="Anual"/>
    <s v="Capacidad"/>
    <s v="Colegios oficiales"/>
    <n v="2720"/>
    <n v="2012"/>
    <n v="2109"/>
    <n v="2027"/>
    <n v="0.96111901375059272"/>
    <n v="2230"/>
    <n v="2230"/>
    <n v="2477"/>
    <n v="2477"/>
    <n v="1.1107623318385651"/>
    <n v="1.1107623318385651"/>
    <n v="2545"/>
    <n v="2545"/>
    <n v="2808"/>
    <n v="2808"/>
    <n v="1.1033398821218074"/>
    <n v="1.1033398821218074"/>
    <m/>
    <n v="2720"/>
    <n v="2720"/>
    <n v="0"/>
    <n v="2808"/>
    <n v="0"/>
    <n v="1.0323529411764707"/>
    <n v="-88"/>
  </r>
  <r>
    <s v="Carlos Carreño"/>
    <x v="0"/>
    <x v="6"/>
    <s v="SI"/>
    <x v="42"/>
    <s v="Producto"/>
    <s v="Trimestral"/>
    <s v="Capacidad"/>
    <s v="Estudiantes"/>
    <n v="1500000"/>
    <n v="0"/>
    <n v="305516"/>
    <n v="316895"/>
    <n v="1.0372451851948834"/>
    <n v="687411"/>
    <n v="687411"/>
    <n v="512169"/>
    <n v="512169"/>
    <n v="0.745069543548183"/>
    <n v="0.745069543548183"/>
    <n v="1000000"/>
    <n v="1000000"/>
    <n v="730411"/>
    <n v="730411"/>
    <n v="0.73041100000000003"/>
    <n v="0.73041100000000003"/>
    <s v="Diciembre"/>
    <n v="1500000"/>
    <n v="1500000"/>
    <n v="793607"/>
    <n v="793607"/>
    <n v="0.52907133333333334"/>
    <n v="0.52907133333333334"/>
    <n v="706393"/>
  </r>
  <r>
    <s v="Pilar Moreno"/>
    <x v="1"/>
    <x v="8"/>
    <s v="SI"/>
    <x v="43"/>
    <s v="Resultado"/>
    <s v="Anual"/>
    <s v="Capacidad"/>
    <s v="Tasa"/>
    <n v="0.2"/>
    <n v="0.14899999999999999"/>
    <n v="0.16"/>
    <n v="0.157"/>
    <n v="0.98124999999999996"/>
    <n v="0.17299999999999999"/>
    <n v="0.17299999999999999"/>
    <n v="0.16900000000000001"/>
    <n v="0.16900000000000001"/>
    <n v="0.97687861271676313"/>
    <n v="0.97687861271676313"/>
    <n v="0.187"/>
    <n v="0.187"/>
    <s v="N.D."/>
    <s v="N.D."/>
    <e v="#VALUE!"/>
    <e v="#VALUE!"/>
    <s v="PENDIENTE"/>
    <n v="0.2"/>
    <n v="0.2"/>
    <n v="0.16900000000000001"/>
    <n v="0.16900000000000001"/>
    <m/>
    <m/>
    <n v="0.2"/>
  </r>
  <r>
    <s v="Pilar Moreno"/>
    <x v="2"/>
    <x v="9"/>
    <s v="NO"/>
    <x v="44"/>
    <s v="Producto"/>
    <s v="Mensual"/>
    <s v="Capacidad"/>
    <s v="Porcentaje"/>
    <n v="0.9"/>
    <n v="0.68"/>
    <n v="0.7"/>
    <n v="0.74099999999999999"/>
    <n v="1.0585714285714287"/>
    <n v="0.76"/>
    <n v="0.76"/>
    <n v="0.78300000000000003"/>
    <n v="0.78300000000000003"/>
    <n v="1.0302631578947368"/>
    <n v="1.0302631578947368"/>
    <n v="0.83"/>
    <n v="0.83"/>
    <n v="0.62629999999999997"/>
    <n v="0.62629999999999997"/>
    <n v="0.75457831325301206"/>
    <n v="0.75457831325301206"/>
    <s v="Diciembre"/>
    <n v="0.9"/>
    <n v="0.9"/>
    <m/>
    <m/>
    <m/>
    <m/>
    <n v="0.9"/>
  </r>
  <r>
    <s v="Pilar Moreno"/>
    <x v="1"/>
    <x v="10"/>
    <s v="NO"/>
    <x v="45"/>
    <s v="Producto"/>
    <s v="Semestral"/>
    <s v="Capacidad"/>
    <s v="Estudiantes"/>
    <n v="2000"/>
    <n v="117"/>
    <n v="250"/>
    <n v="246"/>
    <n v="0.98399999999999999"/>
    <n v="500"/>
    <n v="500"/>
    <n v="195"/>
    <n v="441"/>
    <n v="0.39"/>
    <n v="0.88200000000000001"/>
    <n v="1000"/>
    <n v="1000"/>
    <n v="621"/>
    <n v="621"/>
    <n v="0.621"/>
    <n v="0.621"/>
    <s v="Junio"/>
    <n v="2000"/>
    <n v="2000"/>
    <m/>
    <m/>
    <m/>
    <m/>
    <n v="1379"/>
  </r>
  <r>
    <s v="Pilar Moreno"/>
    <x v="1"/>
    <x v="11"/>
    <s v="NO"/>
    <x v="46"/>
    <s v="Gestión"/>
    <s v="Trimestral"/>
    <s v="Capacidad"/>
    <s v="Porcentaje"/>
    <n v="0.9"/>
    <n v="0.16500000000000001"/>
    <n v="0.25"/>
    <n v="0.216"/>
    <n v="0.86399999999999999"/>
    <n v="0.4"/>
    <n v="0.4"/>
    <n v="4.5000000000000012E-2"/>
    <n v="0.26100000000000001"/>
    <n v="0.11250000000000003"/>
    <n v="0.65249999999999997"/>
    <n v="0.6"/>
    <n v="0.6"/>
    <n v="0.38"/>
    <n v="0.38"/>
    <n v="0.63333333333333341"/>
    <n v="0.63333333333333341"/>
    <s v="Diciembre"/>
    <n v="0.9"/>
    <n v="0.9"/>
    <m/>
    <m/>
    <m/>
    <m/>
    <n v="0.52"/>
  </r>
  <r>
    <s v="Pilar Moreno"/>
    <x v="1"/>
    <x v="8"/>
    <s v="NO"/>
    <x v="47"/>
    <s v="Resultado"/>
    <s v="Anual"/>
    <s v="Capacidad"/>
    <s v="Porcentaje"/>
    <n v="0.13200000000000001"/>
    <n v="3.4000000000000002E-2"/>
    <n v="0.04"/>
    <n v="4.7E-2"/>
    <n v="1.175"/>
    <n v="0.06"/>
    <n v="0.06"/>
    <n v="0"/>
    <n v="4.7E-2"/>
    <n v="0"/>
    <n v="0.78333333333333333"/>
    <n v="0.09"/>
    <n v="0.09"/>
    <s v="N.D."/>
    <s v="N.D."/>
    <e v="#VALUE!"/>
    <e v="#VALUE!"/>
    <s v="PENDIENTE 2016 Y 2017"/>
    <n v="0.13200000000000001"/>
    <n v="0.13200000000000001"/>
    <m/>
    <m/>
    <m/>
    <m/>
    <e v="#VALUE!"/>
  </r>
  <r>
    <s v="Pilar Moreno"/>
    <x v="1"/>
    <x v="8"/>
    <s v="NO"/>
    <x v="48"/>
    <s v="Resultado"/>
    <s v="Anual"/>
    <s v="Capacidad"/>
    <s v="Porcentaje"/>
    <n v="0.14699999999999999"/>
    <n v="9.2999999999999999E-2"/>
    <n v="0.105"/>
    <n v="0.17"/>
    <n v="1.6190476190476193"/>
    <n v="0.12"/>
    <n v="0.12"/>
    <n v="0"/>
    <n v="0"/>
    <n v="0"/>
    <n v="0"/>
    <n v="0.13"/>
    <n v="0.13"/>
    <s v="N.D."/>
    <s v="N.D."/>
    <e v="#VALUE!"/>
    <e v="#VALUE!"/>
    <s v="PENDIENTE 2016 Y 2017"/>
    <n v="0.14699999999999999"/>
    <n v="0.14699999999999999"/>
    <m/>
    <m/>
    <m/>
    <m/>
    <e v="#VALUE!"/>
  </r>
  <r>
    <s v="Pilar Moreno"/>
    <x v="1"/>
    <x v="8"/>
    <s v="NO"/>
    <x v="49"/>
    <s v="Resultado"/>
    <s v="Anual"/>
    <s v="Capacidad"/>
    <s v="Porcentaje"/>
    <n v="0.15"/>
    <n v="0.1"/>
    <n v="0.112"/>
    <n v="0.1"/>
    <n v="0.8928571428571429"/>
    <n v="0.124"/>
    <n v="0.124"/>
    <n v="9.11E-2"/>
    <n v="9.11E-2"/>
    <n v="0.73467741935483877"/>
    <n v="0.73467741935483877"/>
    <n v="0.13700000000000001"/>
    <n v="0.13700000000000001"/>
    <s v="N.D."/>
    <s v="N.D."/>
    <e v="#VALUE!"/>
    <e v="#VALUE!"/>
    <s v="PENDIENTE"/>
    <n v="0.15"/>
    <n v="0.15"/>
    <m/>
    <m/>
    <m/>
    <m/>
    <n v="0.15"/>
  </r>
  <r>
    <s v="Pilar Moreno"/>
    <x v="1"/>
    <x v="8"/>
    <s v="SI"/>
    <x v="50"/>
    <s v="Gestión"/>
    <s v="Anual"/>
    <s v="Flujo"/>
    <s v="Cupos"/>
    <n v="150000"/>
    <n v="168664"/>
    <n v="36905"/>
    <n v="6230"/>
    <n v="0.16881181411732826"/>
    <n v="73810"/>
    <n v="73810"/>
    <n v="3788"/>
    <n v="10018"/>
    <n v="5.1320959219617941E-2"/>
    <n v="0.13572686627828207"/>
    <n v="110715"/>
    <n v="110715"/>
    <s v="N.D."/>
    <s v="N.D."/>
    <e v="#VALUE!"/>
    <e v="#VALUE!"/>
    <s v="PENDIENTE"/>
    <n v="150000"/>
    <n v="150000"/>
    <m/>
    <m/>
    <m/>
    <m/>
    <e v="#VALUE!"/>
  </r>
  <r>
    <s v="Pilar Moreno"/>
    <x v="1"/>
    <x v="8"/>
    <s v="NO"/>
    <x v="51"/>
    <s v="Resultado"/>
    <s v="Anual"/>
    <s v="Reducción"/>
    <s v="Tasa"/>
    <n v="0.15"/>
    <n v="0.19400000000000001"/>
    <n v="0.183"/>
    <n v="0.183"/>
    <n v="1"/>
    <n v="0.17199999999999999"/>
    <n v="0.17199999999999999"/>
    <n v="0.17100000000000001"/>
    <n v="0.17100000000000001"/>
    <n v="1.0454545454545443"/>
    <n v="0.52272727272727237"/>
    <n v="0.161"/>
    <n v="0.161"/>
    <s v="N.D."/>
    <s v="N.D."/>
    <e v="#VALUE!"/>
    <e v="#VALUE!"/>
    <s v="PENDIENTE"/>
    <n v="0.15"/>
    <n v="0.15"/>
    <m/>
    <m/>
    <n v="4.4090909090909083"/>
    <n v="4.4090909090909083"/>
    <e v="#VALUE!"/>
  </r>
  <r>
    <s v="Pilar Moreno"/>
    <x v="1"/>
    <x v="8"/>
    <s v="NO"/>
    <x v="52"/>
    <s v="Resultado"/>
    <s v="Anual"/>
    <s v="Capacidad"/>
    <s v="Tasa"/>
    <n v="0.56999999999999995"/>
    <n v="0.47799999999999998"/>
    <n v="0.48899999999999999"/>
    <n v="0.49399999999999999"/>
    <n v="1.0102249488752557"/>
    <n v="0.51600000000000001"/>
    <n v="0.51600000000000001"/>
    <n v="0.51500000000000001"/>
    <n v="0.51500000000000001"/>
    <n v="0.99806201550387597"/>
    <n v="0.99806201550387597"/>
    <n v="0.54300000000000004"/>
    <n v="0.54300000000000004"/>
    <s v="N.D."/>
    <s v="N.D."/>
    <e v="#VALUE!"/>
    <e v="#VALUE!"/>
    <s v="PENDIENTE"/>
    <n v="0.56999999999999995"/>
    <n v="0.56999999999999995"/>
    <m/>
    <m/>
    <m/>
    <m/>
    <e v="#VALUE!"/>
  </r>
  <r>
    <s v="Pilar Moreno"/>
    <x v="1"/>
    <x v="8"/>
    <s v="NO"/>
    <x v="53"/>
    <s v="Gestión"/>
    <s v="Anual"/>
    <s v="Flujo"/>
    <s v="Cupos"/>
    <n v="400000"/>
    <n v="546631"/>
    <n v="92888"/>
    <n v="72898"/>
    <n v="0.78479459133580221"/>
    <n v="185776"/>
    <n v="185776"/>
    <n v="100884"/>
    <n v="173782"/>
    <n v="0.5430410817328396"/>
    <n v="0.93543837740074065"/>
    <n v="278664"/>
    <n v="278664"/>
    <s v="N.D."/>
    <s v="N.D."/>
    <e v="#VALUE!"/>
    <e v="#VALUE!"/>
    <s v="PENDIENTE"/>
    <n v="400000"/>
    <n v="400000"/>
    <m/>
    <m/>
    <m/>
    <m/>
    <e v="#VALUE!"/>
  </r>
  <r>
    <s v="Pilar Moreno"/>
    <x v="1"/>
    <x v="8"/>
    <s v="SI"/>
    <x v="54"/>
    <s v="Resultado"/>
    <s v="Anual"/>
    <s v="Capacidad"/>
    <s v="Departamentos"/>
    <n v="33"/>
    <n v="25"/>
    <n v="27"/>
    <n v="26"/>
    <n v="0.96296296296296291"/>
    <n v="29"/>
    <n v="29"/>
    <n v="-1"/>
    <n v="25"/>
    <n v="-3.4482758620689655E-2"/>
    <n v="0.86206896551724133"/>
    <n v="31"/>
    <n v="31"/>
    <s v="N.D."/>
    <s v="N.D."/>
    <e v="#VALUE!"/>
    <e v="#VALUE!"/>
    <s v="PENDIENTE"/>
    <n v="33"/>
    <n v="33"/>
    <m/>
    <m/>
    <m/>
    <m/>
    <e v="#VALUE!"/>
  </r>
  <r>
    <s v="Pilar Moreno"/>
    <x v="1"/>
    <x v="8"/>
    <s v="NO"/>
    <x v="55"/>
    <s v="Resultado"/>
    <s v="Anual"/>
    <s v="Reducción"/>
    <s v="Tasa"/>
    <n v="0.08"/>
    <n v="0.10100000000000001"/>
    <n v="9.7000000000000003E-2"/>
    <n v="9.2999999999999999E-2"/>
    <n v="2"/>
    <n v="9.0999999999999998E-2"/>
    <n v="9.0999999999999998E-2"/>
    <n v="9.2999999999999999E-2"/>
    <n v="9.2999999999999999E-2"/>
    <n v="0.8"/>
    <n v="0.38095238095238121"/>
    <n v="8.5999999999999993E-2"/>
    <n v="8.5999999999999993E-2"/>
    <s v="N.D."/>
    <s v="N.D."/>
    <e v="#VALUE!"/>
    <e v="#VALUE!"/>
    <s v="PENDIENTE"/>
    <n v="0.08"/>
    <n v="0.08"/>
    <m/>
    <m/>
    <n v="4.8095238095238084"/>
    <n v="4.8095238095238084"/>
    <e v="#VALUE!"/>
  </r>
  <r>
    <s v="Pilar Moreno"/>
    <x v="1"/>
    <x v="12"/>
    <s v="SI"/>
    <x v="56"/>
    <s v="Producto"/>
    <s v="Semestral"/>
    <s v="Acumulado"/>
    <s v="Estudiantes"/>
    <n v="125000"/>
    <n v="23067"/>
    <n v="18347"/>
    <n v="20313"/>
    <n v="1.1071564833487764"/>
    <n v="34287"/>
    <n v="52634"/>
    <n v="22252"/>
    <n v="42565"/>
    <n v="0.64899232945431218"/>
    <n v="0.80869779990120449"/>
    <n v="36183"/>
    <n v="88817"/>
    <n v="23777"/>
    <n v="66342"/>
    <n v="0.6571318022275654"/>
    <n v="0.74695159710415804"/>
    <s v="Diciembre"/>
    <n v="36183"/>
    <n v="125000"/>
    <n v="10112"/>
    <n v="76454"/>
    <n v="0.27946825857446866"/>
    <n v="0.61163199999999995"/>
    <n v="58658"/>
  </r>
  <r>
    <s v="Pilar Moreno"/>
    <x v="1"/>
    <x v="12"/>
    <s v="NO"/>
    <x v="57"/>
    <s v="Gestión"/>
    <s v="Semestral"/>
    <s v="Flujo"/>
    <s v="Porcentaje"/>
    <n v="0.6"/>
    <n v="0.39"/>
    <n v="0.45"/>
    <n v="0.91600000000000004"/>
    <n v="2.0355555555555558"/>
    <n v="0.5"/>
    <n v="0.5"/>
    <n v="0.43740000000000001"/>
    <n v="0.4374377507754475"/>
    <n v="0.87480000000000002"/>
    <n v="0.874875501550895"/>
    <n v="0.55000000000000004"/>
    <n v="0.55000000000000004"/>
    <n v="0.40200000000000002"/>
    <n v="0.40200000000000002"/>
    <n v="0.73090909090909084"/>
    <n v="0.73090909090909084"/>
    <s v="Diciembre"/>
    <n v="0.6"/>
    <n v="0.6"/>
    <m/>
    <m/>
    <m/>
    <m/>
    <n v="0.6"/>
  </r>
  <r>
    <s v="Pilar Moreno"/>
    <x v="1"/>
    <x v="8"/>
    <s v="NO"/>
    <x v="58"/>
    <s v="Producto"/>
    <s v="Anual"/>
    <s v="Capacidad"/>
    <s v="Docentes"/>
    <n v="10000"/>
    <n v="8893"/>
    <n v="8180"/>
    <n v="9477"/>
    <n v="1.158557457212714"/>
    <n v="8790"/>
    <n v="8790"/>
    <n v="10843"/>
    <n v="10843"/>
    <n v="1.2335608646188851"/>
    <n v="1.2335608646188851"/>
    <n v="9400"/>
    <n v="9400"/>
    <s v="N.D."/>
    <s v="N.D."/>
    <e v="#VALUE!"/>
    <e v="#VALUE!"/>
    <s v="PENDIENTE"/>
    <n v="10000"/>
    <n v="10000"/>
    <m/>
    <m/>
    <m/>
    <m/>
    <e v="#VALUE!"/>
  </r>
  <r>
    <s v="Pilar Moreno"/>
    <x v="1"/>
    <x v="8"/>
    <s v="NO"/>
    <x v="59"/>
    <s v="Producto"/>
    <s v="Anual"/>
    <s v="Capacidad"/>
    <s v="Puestos"/>
    <n v="25"/>
    <n v="0"/>
    <n v="4"/>
    <n v="12"/>
    <n v="3"/>
    <n v="12"/>
    <n v="12"/>
    <n v="24"/>
    <n v="24"/>
    <n v="2"/>
    <n v="2"/>
    <n v="20"/>
    <n v="20"/>
    <s v="N.D."/>
    <s v="N.D."/>
    <e v="#VALUE!"/>
    <e v="#VALUE!"/>
    <s v="PENDIENTE"/>
    <n v="25"/>
    <n v="25"/>
    <m/>
    <m/>
    <m/>
    <m/>
    <e v="#VALUE!"/>
  </r>
  <r>
    <s v="Pilar Moreno"/>
    <x v="1"/>
    <x v="8"/>
    <s v="NO"/>
    <x v="60"/>
    <s v="Gestión"/>
    <s v="Anual"/>
    <s v="Flujo"/>
    <s v="Graduados"/>
    <n v="40000"/>
    <n v="82723"/>
    <n v="8000"/>
    <n v="28058"/>
    <n v="3.50725"/>
    <n v="17500"/>
    <n v="17500"/>
    <n v="55022"/>
    <n v="55022"/>
    <n v="3.1441142857142856"/>
    <n v="3.1441142857142856"/>
    <n v="28500"/>
    <n v="28500"/>
    <s v="N.D."/>
    <s v="N.D."/>
    <e v="#VALUE!"/>
    <e v="#VALUE!"/>
    <s v="PENDIENTE"/>
    <n v="40000"/>
    <n v="40000"/>
    <m/>
    <m/>
    <m/>
    <m/>
    <n v="0"/>
  </r>
  <r>
    <s v="Pilar Moreno"/>
    <x v="1"/>
    <x v="8"/>
    <s v="NO"/>
    <x v="61"/>
    <s v="Gestión"/>
    <s v="Anual"/>
    <s v="Flujo"/>
    <s v="Cupos"/>
    <n v="7000"/>
    <n v="14623"/>
    <n v="1000"/>
    <n v="4633"/>
    <n v="4.633"/>
    <n v="3000"/>
    <n v="3000"/>
    <n v="5117"/>
    <n v="5117"/>
    <n v="1.7056666666666667"/>
    <n v="1.7056666666666667"/>
    <n v="5000"/>
    <n v="5000"/>
    <s v="N.D."/>
    <s v="N.D."/>
    <e v="#VALUE!"/>
    <e v="#VALUE!"/>
    <s v="PENDIENTE"/>
    <n v="7000"/>
    <n v="7000"/>
    <m/>
    <m/>
    <m/>
    <m/>
    <e v="#VALUE!"/>
  </r>
  <r>
    <s v="Pilar Moreno"/>
    <x v="1"/>
    <x v="8"/>
    <s v="NO"/>
    <x v="62"/>
    <s v="Resultado"/>
    <s v="Anual"/>
    <s v="Capacidad"/>
    <s v="Graduados"/>
    <n v="2000"/>
    <n v="2709"/>
    <n v="3227"/>
    <n v="3321"/>
    <n v="1.0291292221877906"/>
    <n v="3486"/>
    <n v="3486"/>
    <n v="4215"/>
    <n v="7536"/>
    <n v="1.2091222030981068"/>
    <n v="2.1617900172117039"/>
    <n v="3745"/>
    <n v="3745"/>
    <s v="N.D."/>
    <s v="N.D."/>
    <e v="#VALUE!"/>
    <e v="#VALUE!"/>
    <s v="PENDIENTE"/>
    <n v="4004"/>
    <n v="2000"/>
    <m/>
    <m/>
    <m/>
    <m/>
    <n v="0"/>
  </r>
  <r>
    <s v="Pilar Moreno"/>
    <x v="1"/>
    <x v="8"/>
    <s v="SI"/>
    <x v="63"/>
    <s v="Producto"/>
    <s v="Anual"/>
    <s v="Acumulado"/>
    <s v="Estudiantes"/>
    <n v="40000"/>
    <n v="0"/>
    <n v="10000"/>
    <n v="10141"/>
    <n v="1.0141"/>
    <n v="10000"/>
    <n v="20000"/>
    <n v="12730"/>
    <n v="22871"/>
    <n v="1.2729999999999999"/>
    <n v="1.1435500000000001"/>
    <n v="10000"/>
    <n v="30000"/>
    <n v="31977"/>
    <n v="31977"/>
    <n v="3.1977000000000002"/>
    <n v="1.0659000000000001"/>
    <s v="Diciembre"/>
    <n v="10000"/>
    <n v="40000"/>
    <n v="7999"/>
    <n v="39976"/>
    <n v="0.79990000000000006"/>
    <n v="0.99939999999999996"/>
    <n v="24"/>
  </r>
  <r>
    <s v="Pilar Moreno"/>
    <x v="1"/>
    <x v="8"/>
    <s v="SI"/>
    <x v="64"/>
    <s v="Resultado"/>
    <s v="Anual"/>
    <s v="Stock"/>
    <s v="Tasa"/>
    <n v="0.05"/>
    <n v="0"/>
    <n v="0.05"/>
    <n v="1.9E-2"/>
    <m/>
    <n v="0.05"/>
    <n v="0.05"/>
    <n v="1.6999999999999999E-3"/>
    <n v="1.6999999999999999E-3"/>
    <n v="3.3999999999999996E-2"/>
    <n v="3.3999999999999996E-2"/>
    <n v="0.05"/>
    <n v="0.05"/>
    <s v="N.D."/>
    <s v="N.D."/>
    <e v="#VALUE!"/>
    <e v="#VALUE!"/>
    <s v="PENDIENTE"/>
    <n v="0.05"/>
    <n v="0.05"/>
    <m/>
    <m/>
    <m/>
    <m/>
    <e v="#VALUE!"/>
  </r>
  <r>
    <s v="Pilar Moreno"/>
    <x v="1"/>
    <x v="8"/>
    <s v="NO"/>
    <x v="65"/>
    <s v="Producto"/>
    <s v="Anual"/>
    <s v="Acumulado"/>
    <s v="Cupos"/>
    <n v="20"/>
    <n v="0"/>
    <n v="2"/>
    <n v="0"/>
    <n v="0"/>
    <n v="4"/>
    <n v="6"/>
    <n v="0"/>
    <n v="0"/>
    <n v="0"/>
    <n v="0"/>
    <n v="6"/>
    <n v="6"/>
    <s v="N.D."/>
    <s v="N.D."/>
    <e v="#VALUE!"/>
    <e v="#VALUE!"/>
    <s v="PENDIENTE"/>
    <n v="8"/>
    <n v="20"/>
    <m/>
    <m/>
    <m/>
    <m/>
    <e v="#VALUE!"/>
  </r>
  <r>
    <s v="Hector Flechas"/>
    <x v="0"/>
    <x v="13"/>
    <s v="NO"/>
    <x v="66"/>
    <s v="Gestión"/>
    <s v="Anual"/>
    <s v="Capacidad"/>
    <s v="Porcentaje"/>
    <n v="1"/>
    <n v="0"/>
    <n v="0"/>
    <n v="0"/>
    <s v="N/A"/>
    <n v="0.35"/>
    <n v="0.35"/>
    <n v="0.54500000000000004"/>
    <n v="0.54500000000000004"/>
    <n v="1.5571428571428574"/>
    <n v="1.5571428571428574"/>
    <n v="0.7"/>
    <n v="0.7"/>
    <n v="0.6"/>
    <n v="0.6"/>
    <n v="0.85714285714285721"/>
    <n v="0.85714285714285721"/>
    <s v="Diciembre"/>
    <n v="1"/>
    <n v="1"/>
    <m/>
    <m/>
    <m/>
    <m/>
    <n v="0.4"/>
  </r>
  <r>
    <s v="Hector Flechas"/>
    <x v="0"/>
    <x v="13"/>
    <s v="NO"/>
    <x v="67"/>
    <s v="Gestión"/>
    <s v="Anual"/>
    <s v="Capacidad"/>
    <s v="Porcentaje"/>
    <n v="1"/>
    <n v="0"/>
    <n v="0.05"/>
    <n v="0.05"/>
    <n v="1"/>
    <n v="0.3"/>
    <n v="0.3"/>
    <n v="9.9999999999999992E-2"/>
    <n v="0.15"/>
    <n v="0.33333333333333331"/>
    <n v="0.5"/>
    <n v="0.5"/>
    <n v="0.5"/>
    <n v="0.2"/>
    <n v="0.2"/>
    <n v="0.4"/>
    <n v="0.4"/>
    <s v="Diciembre"/>
    <n v="1"/>
    <n v="1"/>
    <m/>
    <m/>
    <m/>
    <m/>
    <n v="0.8"/>
  </r>
  <r>
    <s v="Pilar Moreno"/>
    <x v="1"/>
    <x v="8"/>
    <s v="NO"/>
    <x v="68"/>
    <s v="Producto"/>
    <s v="Anual"/>
    <s v="Acumulado"/>
    <s v="Estudiantes indígenas"/>
    <n v="8000"/>
    <n v="1300"/>
    <n v="1500"/>
    <n v="0"/>
    <n v="0"/>
    <n v="2000"/>
    <n v="3500"/>
    <n v="1500"/>
    <n v="1500"/>
    <n v="0.75"/>
    <n v="0.42857142857142855"/>
    <n v="2000"/>
    <n v="2000"/>
    <s v="N.D."/>
    <s v="N.D."/>
    <e v="#VALUE!"/>
    <e v="#VALUE!"/>
    <s v="PENDIENTE"/>
    <n v="2500"/>
    <n v="8000"/>
    <m/>
    <m/>
    <m/>
    <m/>
    <e v="#VALUE!"/>
  </r>
  <r>
    <s v="Hector Flechas"/>
    <x v="0"/>
    <x v="14"/>
    <s v="NO"/>
    <x v="69"/>
    <s v="Producto"/>
    <s v="Anual"/>
    <s v="Acumulado"/>
    <s v="Personas"/>
    <n v="46000"/>
    <n v="43429"/>
    <n v="1000"/>
    <n v="2458"/>
    <n v="2.4580000000000002"/>
    <n v="15000"/>
    <n v="16000"/>
    <n v="967"/>
    <n v="3425"/>
    <n v="6.4466666666666672E-2"/>
    <n v="0.21406249999999999"/>
    <n v="15000"/>
    <n v="31000"/>
    <n v="1210"/>
    <n v="4635"/>
    <n v="8.0666666666666664E-2"/>
    <n v="0.14951612903225805"/>
    <s v="Diciembre"/>
    <n v="15000"/>
    <n v="46000"/>
    <m/>
    <m/>
    <m/>
    <m/>
    <n v="41365"/>
  </r>
  <r>
    <s v="Hector Flechas"/>
    <x v="0"/>
    <x v="14"/>
    <s v="NO"/>
    <x v="70"/>
    <s v="Meta Intermedia"/>
    <s v="Trimestral"/>
    <s v="Stock"/>
    <s v="Porcentaje"/>
    <n v="0.85"/>
    <s v="SIN DATO"/>
    <n v="1"/>
    <n v="0"/>
    <n v="0"/>
    <n v="1"/>
    <n v="1"/>
    <n v="0.04"/>
    <n v="0.04"/>
    <n v="0.04"/>
    <n v="0.04"/>
    <n v="0.8"/>
    <n v="0.8"/>
    <n v="0.73399999999999999"/>
    <n v="0.73399999999999999"/>
    <n v="0.91749999999999998"/>
    <n v="0.91749999999999998"/>
    <s v="Diciembre"/>
    <n v="0.85"/>
    <n v="0.85"/>
    <m/>
    <m/>
    <m/>
    <m/>
    <n v="0.85"/>
  </r>
  <r>
    <s v="Hector Flechas"/>
    <x v="0"/>
    <x v="14"/>
    <s v="NO"/>
    <x v="71"/>
    <s v="Meta Intermedia"/>
    <s v="Trimestral"/>
    <s v="Stock"/>
    <s v="Porcentaje"/>
    <n v="1"/>
    <s v="SIN DATO"/>
    <n v="1"/>
    <n v="0"/>
    <n v="0"/>
    <n v="1"/>
    <n v="1"/>
    <n v="7.0000000000000007E-2"/>
    <n v="7.0000000000000007E-2"/>
    <n v="7.0000000000000007E-2"/>
    <n v="7.0000000000000007E-2"/>
    <n v="1"/>
    <n v="1"/>
    <n v="0.04"/>
    <n v="0.04"/>
    <n v="0.04"/>
    <n v="0.04"/>
    <s v="Diciembre"/>
    <n v="1"/>
    <n v="1"/>
    <m/>
    <m/>
    <m/>
    <m/>
    <n v="1"/>
  </r>
  <r>
    <s v="Hector Flechas"/>
    <x v="0"/>
    <x v="14"/>
    <s v="NO"/>
    <x v="72"/>
    <s v="Meta Intermedia"/>
    <s v="Semestral"/>
    <s v="Stock"/>
    <s v="Porcentaje"/>
    <n v="1"/>
    <s v="SIN DATO"/>
    <n v="1"/>
    <n v="0.23"/>
    <n v="0.23"/>
    <n v="1"/>
    <n v="1"/>
    <n v="0.24"/>
    <n v="0.24"/>
    <n v="0.24"/>
    <n v="0.24"/>
    <n v="1"/>
    <n v="1"/>
    <s v="N.D."/>
    <s v="N.D."/>
    <e v="#VALUE!"/>
    <e v="#VALUE!"/>
    <s v="PENDIENTE"/>
    <n v="1"/>
    <n v="1"/>
    <m/>
    <m/>
    <m/>
    <m/>
    <e v="#VALUE!"/>
  </r>
  <r>
    <s v="Carlos Carreño"/>
    <x v="0"/>
    <x v="15"/>
    <s v="NO"/>
    <x v="73"/>
    <s v="Producto"/>
    <s v="Trimestral"/>
    <s v="Capacidad"/>
    <s v="Secretarias de Educación "/>
    <n v="95"/>
    <n v="94"/>
    <n v="12"/>
    <n v="12"/>
    <n v="1"/>
    <n v="95"/>
    <n v="95"/>
    <n v="76"/>
    <n v="88"/>
    <n v="0.8"/>
    <n v="0.9263157894736842"/>
    <n v="95"/>
    <n v="95"/>
    <n v="73"/>
    <n v="73"/>
    <n v="0.76842105263157889"/>
    <n v="0.76842105263157889"/>
    <s v="Diciembre"/>
    <n v="95"/>
    <n v="95"/>
    <m/>
    <m/>
    <m/>
    <m/>
    <n v="22"/>
  </r>
  <r>
    <s v="Carlos Carreño"/>
    <x v="0"/>
    <x v="15"/>
    <s v="NO"/>
    <x v="74"/>
    <s v="Producto"/>
    <s v="Trimestral"/>
    <s v="Capacidad"/>
    <s v="Porcentaje"/>
    <n v="0.5"/>
    <s v="SIN DATO"/>
    <n v="0"/>
    <n v="0"/>
    <n v="0"/>
    <n v="0.2"/>
    <n v="0.2"/>
    <n v="0.03"/>
    <n v="0.03"/>
    <n v="0.15"/>
    <n v="0.15"/>
    <n v="0.3"/>
    <n v="0.3"/>
    <n v="0.18"/>
    <n v="0.18"/>
    <n v="0.6"/>
    <n v="0.6"/>
    <s v="Diciembre"/>
    <n v="0.5"/>
    <n v="0.5"/>
    <m/>
    <m/>
    <m/>
    <m/>
    <n v="0.32"/>
  </r>
  <r>
    <s v="Carlos Carreño"/>
    <x v="0"/>
    <x v="15"/>
    <s v="NO"/>
    <x v="75"/>
    <s v="Producto"/>
    <s v="Semestral"/>
    <s v="Capacidad"/>
    <s v="Municipios"/>
    <n v="282"/>
    <s v="SIN DATO"/>
    <n v="103"/>
    <n v="121"/>
    <n v="1.174757281553398"/>
    <n v="163"/>
    <n v="163"/>
    <n v="99"/>
    <n v="220"/>
    <n v="0.6073619631901841"/>
    <n v="1.3496932515337423"/>
    <n v="223"/>
    <n v="223"/>
    <s v="N.D."/>
    <s v="N.D."/>
    <e v="#VALUE!"/>
    <e v="#VALUE!"/>
    <s v="PENDIENTE"/>
    <n v="282"/>
    <n v="282"/>
    <m/>
    <m/>
    <m/>
    <m/>
    <e v="#VALUE!"/>
  </r>
  <r>
    <s v="Hector Flechas"/>
    <x v="0"/>
    <x v="3"/>
    <s v="NO"/>
    <x v="76"/>
    <s v="Producto"/>
    <s v="Anual"/>
    <s v="Acumulado"/>
    <s v="Porcentaje"/>
    <n v="1"/>
    <s v="SIN DATO"/>
    <n v="0"/>
    <n v="0"/>
    <s v="N/A"/>
    <n v="0.5"/>
    <n v="0.5"/>
    <n v="0.5"/>
    <n v="0.5"/>
    <n v="1"/>
    <n v="1"/>
    <n v="0.5"/>
    <n v="0.5"/>
    <n v="0.9"/>
    <n v="0.9"/>
    <n v="1.8"/>
    <n v="1.8"/>
    <s v="Diciembre"/>
    <n v="0"/>
    <n v="1"/>
    <m/>
    <m/>
    <m/>
    <m/>
    <n v="9.9999999999999978E-2"/>
  </r>
  <r>
    <s v="Carlos Carreño"/>
    <x v="0"/>
    <x v="3"/>
    <s v="NO"/>
    <x v="77"/>
    <s v="Producto"/>
    <s v="Semestral"/>
    <s v="Capacidad"/>
    <s v="Porcentaje"/>
    <n v="0.84"/>
    <n v="0.72"/>
    <n v="0.78"/>
    <n v="0.77249999999999996"/>
    <n v="0.99038461538461531"/>
    <n v="0.79"/>
    <n v="0.79"/>
    <n v="0.82909999999999995"/>
    <n v="0.82909999999999995"/>
    <n v="1.0494936708860758"/>
    <n v="1.0494936708860758"/>
    <n v="0.81"/>
    <n v="0.81"/>
    <s v="N.D."/>
    <s v="N.D."/>
    <e v="#VALUE!"/>
    <e v="#VALUE!"/>
    <s v="PENDIENTE"/>
    <n v="0.84"/>
    <n v="0.84"/>
    <m/>
    <m/>
    <m/>
    <m/>
    <e v="#VALUE!"/>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B00-000000000000}" name="Tabla dinámica2" cacheId="0" applyNumberFormats="0" applyBorderFormats="0" applyFontFormats="0" applyPatternFormats="0" applyAlignmentFormats="0" applyWidthHeightFormats="1" dataCaption="Valores" updatedVersion="6" minRefreshableVersion="3" useAutoFormatting="1" itemPrintTitles="1" createdVersion="5" indent="0" outline="1" outlineData="1" multipleFieldFilters="0">
  <location ref="A3:B23" firstHeaderRow="1" firstDataRow="1" firstDataCol="1"/>
  <pivotFields count="34">
    <pivotField showAll="0"/>
    <pivotField axis="axisRow" showAll="0">
      <items count="4">
        <item x="0"/>
        <item x="1"/>
        <item x="2"/>
        <item t="default"/>
      </items>
    </pivotField>
    <pivotField axis="axisRow" showAll="0">
      <items count="17">
        <item x="13"/>
        <item x="4"/>
        <item x="7"/>
        <item x="6"/>
        <item x="5"/>
        <item x="11"/>
        <item x="0"/>
        <item x="8"/>
        <item x="10"/>
        <item x="2"/>
        <item x="14"/>
        <item x="9"/>
        <item x="1"/>
        <item x="15"/>
        <item x="3"/>
        <item x="12"/>
        <item t="default"/>
      </items>
    </pivotField>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numFmtId="164" showAll="0"/>
    <pivotField showAll="0"/>
    <pivotField showAll="0"/>
    <pivotField showAll="0"/>
    <pivotField showAll="0"/>
    <pivotField showAll="0"/>
    <pivotField numFmtId="164" showAll="0"/>
    <pivotField showAll="0"/>
    <pivotField showAll="0"/>
    <pivotField showAll="0"/>
    <pivotField showAll="0"/>
    <pivotField showAll="0"/>
    <pivotField showAll="0"/>
    <pivotField showAll="0"/>
    <pivotField showAll="0"/>
  </pivotFields>
  <rowFields count="2">
    <field x="1"/>
    <field x="2"/>
  </rowFields>
  <rowItems count="20">
    <i>
      <x/>
    </i>
    <i r="1">
      <x/>
    </i>
    <i r="1">
      <x v="1"/>
    </i>
    <i r="1">
      <x v="2"/>
    </i>
    <i r="1">
      <x v="3"/>
    </i>
    <i r="1">
      <x v="4"/>
    </i>
    <i r="1">
      <x v="6"/>
    </i>
    <i r="1">
      <x v="9"/>
    </i>
    <i r="1">
      <x v="10"/>
    </i>
    <i r="1">
      <x v="12"/>
    </i>
    <i r="1">
      <x v="13"/>
    </i>
    <i r="1">
      <x v="14"/>
    </i>
    <i>
      <x v="1"/>
    </i>
    <i r="1">
      <x v="5"/>
    </i>
    <i r="1">
      <x v="7"/>
    </i>
    <i r="1">
      <x v="8"/>
    </i>
    <i r="1">
      <x v="15"/>
    </i>
    <i>
      <x v="2"/>
    </i>
    <i r="1">
      <x v="11"/>
    </i>
    <i t="grand">
      <x/>
    </i>
  </rowItems>
  <colItems count="1">
    <i/>
  </colItems>
  <dataFields count="1">
    <dataField name="Cuenta de Nombre del Indicador" fld="4" subtotal="count" baseField="0" baseItem="0"/>
  </dataFields>
  <formats count="4">
    <format dxfId="220">
      <pivotArea dataOnly="0" labelOnly="1" fieldPosition="0">
        <references count="1">
          <reference field="1" count="1">
            <x v="1"/>
          </reference>
        </references>
      </pivotArea>
    </format>
    <format dxfId="219">
      <pivotArea dataOnly="0" labelOnly="1" fieldPosition="0">
        <references count="2">
          <reference field="1" count="1" selected="0">
            <x v="0"/>
          </reference>
          <reference field="2" count="0"/>
        </references>
      </pivotArea>
    </format>
    <format dxfId="218">
      <pivotArea collapsedLevelsAreSubtotals="1" fieldPosition="0">
        <references count="2">
          <reference field="1" count="1" selected="0">
            <x v="0"/>
          </reference>
          <reference field="2" count="1">
            <x v="9"/>
          </reference>
        </references>
      </pivotArea>
    </format>
    <format dxfId="217">
      <pivotArea collapsedLevelsAreSubtotals="1" fieldPosition="0">
        <references count="2">
          <reference field="1" count="1" selected="0">
            <x v="0"/>
          </reference>
          <reference field="2" count="1">
            <x v="1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B00-000001000000}" name="Tabla dinámica3" cacheId="0" applyNumberFormats="0" applyBorderFormats="0" applyFontFormats="0" applyPatternFormats="0" applyAlignmentFormats="0" applyWidthHeightFormats="1" dataCaption="Valores" updatedVersion="6" minRefreshableVersion="3" useAutoFormatting="1" itemPrintTitles="1" createdVersion="5" indent="0" outline="1" outlineData="1" multipleFieldFilters="0">
  <location ref="A27:C51" firstHeaderRow="1" firstDataRow="1" firstDataCol="2" rowPageCount="1" colPageCount="1"/>
  <pivotFields count="34">
    <pivotField showAll="0"/>
    <pivotField axis="axisPage" outline="0" showAll="0" defaultSubtotal="0">
      <items count="3">
        <item x="0"/>
        <item x="1"/>
        <item x="2"/>
      </items>
    </pivotField>
    <pivotField axis="axisRow" outline="0" showAll="0" defaultSubtotal="0">
      <items count="16">
        <item x="13"/>
        <item x="4"/>
        <item x="7"/>
        <item x="6"/>
        <item x="5"/>
        <item x="11"/>
        <item x="0"/>
        <item x="8"/>
        <item x="10"/>
        <item x="2"/>
        <item x="14"/>
        <item x="9"/>
        <item x="1"/>
        <item x="15"/>
        <item x="3"/>
        <item x="12"/>
      </items>
    </pivotField>
    <pivotField showAll="0"/>
    <pivotField axis="axisRow" showAll="0">
      <items count="82">
        <item x="73"/>
        <item x="25"/>
        <item x="65"/>
        <item x="54"/>
        <item x="58"/>
        <item x="36"/>
        <item x="37"/>
        <item x="33"/>
        <item x="66"/>
        <item x="45"/>
        <item m="1" x="79"/>
        <item x="63"/>
        <item x="68"/>
        <item x="22"/>
        <item x="15"/>
        <item x="12"/>
        <item x="59"/>
        <item x="60"/>
        <item x="40"/>
        <item x="75"/>
        <item x="53"/>
        <item x="50"/>
        <item x="61"/>
        <item x="9"/>
        <item x="41"/>
        <item x="42"/>
        <item x="24"/>
        <item x="76"/>
        <item x="27"/>
        <item x="57"/>
        <item x="49"/>
        <item m="1" x="80"/>
        <item x="7"/>
        <item x="6"/>
        <item x="30"/>
        <item x="48"/>
        <item x="47"/>
        <item x="38"/>
        <item x="29"/>
        <item x="31"/>
        <item x="32"/>
        <item x="74"/>
        <item x="28"/>
        <item x="44"/>
        <item x="71"/>
        <item x="70"/>
        <item x="34"/>
        <item x="77"/>
        <item x="46"/>
        <item x="72"/>
        <item x="62"/>
        <item x="67"/>
        <item x="2"/>
        <item x="23"/>
        <item x="20"/>
        <item x="13"/>
        <item x="16"/>
        <item x="5"/>
        <item x="18"/>
        <item x="69"/>
        <item x="8"/>
        <item x="11"/>
        <item x="0"/>
        <item x="14"/>
        <item x="21"/>
        <item x="10"/>
        <item x="17"/>
        <item m="1" x="78"/>
        <item x="26"/>
        <item x="43"/>
        <item x="52"/>
        <item x="51"/>
        <item x="64"/>
        <item x="55"/>
        <item x="3"/>
        <item x="1"/>
        <item x="19"/>
        <item x="39"/>
        <item x="4"/>
        <item x="35"/>
        <item x="5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numFmtId="164" showAll="0"/>
    <pivotField showAll="0"/>
    <pivotField showAll="0"/>
    <pivotField showAll="0"/>
    <pivotField showAll="0"/>
    <pivotField showAll="0"/>
    <pivotField dataField="1" numFmtId="164" showAll="0"/>
    <pivotField showAll="0"/>
    <pivotField showAll="0"/>
    <pivotField showAll="0"/>
    <pivotField showAll="0"/>
    <pivotField showAll="0"/>
    <pivotField showAll="0"/>
    <pivotField showAll="0"/>
    <pivotField showAll="0"/>
  </pivotFields>
  <rowFields count="2">
    <field x="2"/>
    <field x="4"/>
  </rowFields>
  <rowItems count="24">
    <i>
      <x v="5"/>
      <x v="48"/>
    </i>
    <i>
      <x v="7"/>
      <x v="2"/>
    </i>
    <i r="1">
      <x v="3"/>
    </i>
    <i r="1">
      <x v="4"/>
    </i>
    <i r="1">
      <x v="11"/>
    </i>
    <i r="1">
      <x v="12"/>
    </i>
    <i r="1">
      <x v="16"/>
    </i>
    <i r="1">
      <x v="17"/>
    </i>
    <i r="1">
      <x v="20"/>
    </i>
    <i r="1">
      <x v="21"/>
    </i>
    <i r="1">
      <x v="22"/>
    </i>
    <i r="1">
      <x v="30"/>
    </i>
    <i r="1">
      <x v="35"/>
    </i>
    <i r="1">
      <x v="36"/>
    </i>
    <i r="1">
      <x v="50"/>
    </i>
    <i r="1">
      <x v="69"/>
    </i>
    <i r="1">
      <x v="70"/>
    </i>
    <i r="1">
      <x v="71"/>
    </i>
    <i r="1">
      <x v="72"/>
    </i>
    <i r="1">
      <x v="73"/>
    </i>
    <i>
      <x v="8"/>
      <x v="9"/>
    </i>
    <i>
      <x v="15"/>
      <x v="29"/>
    </i>
    <i r="1">
      <x v="80"/>
    </i>
    <i t="grand">
      <x/>
    </i>
  </rowItems>
  <colItems count="1">
    <i/>
  </colItems>
  <pageFields count="1">
    <pageField fld="1" item="1" hier="-1"/>
  </pageFields>
  <dataFields count="1">
    <dataField name="Suma de % CUMP VS META ACUMULADA2" fld="25" baseField="0" baseItem="0"/>
  </dataFields>
  <formats count="32">
    <format dxfId="252">
      <pivotArea collapsedLevelsAreSubtotals="1" fieldPosition="0">
        <references count="3">
          <reference field="1" count="1" selected="0">
            <x v="0"/>
          </reference>
          <reference field="2" count="1" selected="0">
            <x v="0"/>
          </reference>
          <reference field="4" count="2">
            <x v="8"/>
            <x v="51"/>
          </reference>
        </references>
      </pivotArea>
    </format>
    <format dxfId="251">
      <pivotArea collapsedLevelsAreSubtotals="1" fieldPosition="0">
        <references count="3">
          <reference field="1" count="1" selected="0">
            <x v="0"/>
          </reference>
          <reference field="2" count="1" selected="0">
            <x v="1"/>
          </reference>
          <reference field="4" count="9">
            <x v="5"/>
            <x v="6"/>
            <x v="18"/>
            <x v="24"/>
            <x v="28"/>
            <x v="31"/>
            <x v="37"/>
            <x v="42"/>
            <x v="46"/>
          </reference>
        </references>
      </pivotArea>
    </format>
    <format dxfId="250">
      <pivotArea collapsedLevelsAreSubtotals="1" fieldPosition="0">
        <references count="3">
          <reference field="1" count="1" selected="0">
            <x v="0"/>
          </reference>
          <reference field="2" count="1" selected="0">
            <x v="2"/>
          </reference>
          <reference field="4" count="4">
            <x v="7"/>
            <x v="39"/>
            <x v="40"/>
            <x v="77"/>
          </reference>
        </references>
      </pivotArea>
    </format>
    <format dxfId="249">
      <pivotArea collapsedLevelsAreSubtotals="1" fieldPosition="0">
        <references count="3">
          <reference field="1" count="1" selected="0">
            <x v="0"/>
          </reference>
          <reference field="2" count="1" selected="0">
            <x v="3"/>
          </reference>
          <reference field="4" count="2">
            <x v="25"/>
            <x v="34"/>
          </reference>
        </references>
      </pivotArea>
    </format>
    <format dxfId="248">
      <pivotArea collapsedLevelsAreSubtotals="1" fieldPosition="0">
        <references count="3">
          <reference field="1" count="1" selected="0">
            <x v="0"/>
          </reference>
          <reference field="2" count="1" selected="0">
            <x v="4"/>
          </reference>
          <reference field="4" count="1">
            <x v="38"/>
          </reference>
        </references>
      </pivotArea>
    </format>
    <format dxfId="247">
      <pivotArea collapsedLevelsAreSubtotals="1" fieldPosition="0">
        <references count="3">
          <reference field="1" count="1" selected="0">
            <x v="0"/>
          </reference>
          <reference field="2" count="1" selected="0">
            <x v="6"/>
          </reference>
          <reference field="4" count="20">
            <x v="13"/>
            <x v="14"/>
            <x v="15"/>
            <x v="26"/>
            <x v="52"/>
            <x v="53"/>
            <x v="54"/>
            <x v="55"/>
            <x v="56"/>
            <x v="61"/>
            <x v="62"/>
            <x v="63"/>
            <x v="64"/>
            <x v="65"/>
            <x v="66"/>
            <x v="67"/>
            <x v="68"/>
            <x v="74"/>
            <x v="75"/>
            <x v="76"/>
          </reference>
        </references>
      </pivotArea>
    </format>
    <format dxfId="246">
      <pivotArea collapsedLevelsAreSubtotals="1" fieldPosition="0">
        <references count="3">
          <reference field="1" count="1" selected="0">
            <x v="0"/>
          </reference>
          <reference field="2" count="1" selected="0">
            <x v="9"/>
          </reference>
          <reference field="4" count="2">
            <x v="32"/>
            <x v="33"/>
          </reference>
        </references>
      </pivotArea>
    </format>
    <format dxfId="245">
      <pivotArea collapsedLevelsAreSubtotals="1" fieldPosition="0">
        <references count="3">
          <reference field="1" count="1" selected="0">
            <x v="0"/>
          </reference>
          <reference field="2" count="1" selected="0">
            <x v="10"/>
          </reference>
          <reference field="4" count="4">
            <x v="44"/>
            <x v="45"/>
            <x v="49"/>
            <x v="59"/>
          </reference>
        </references>
      </pivotArea>
    </format>
    <format dxfId="244">
      <pivotArea collapsedLevelsAreSubtotals="1" fieldPosition="0">
        <references count="3">
          <reference field="1" count="1" selected="0">
            <x v="0"/>
          </reference>
          <reference field="2" count="1" selected="0">
            <x v="12"/>
          </reference>
          <reference field="4" count="3">
            <x v="1"/>
            <x v="57"/>
            <x v="58"/>
          </reference>
        </references>
      </pivotArea>
    </format>
    <format dxfId="243">
      <pivotArea collapsedLevelsAreSubtotals="1" fieldPosition="0">
        <references count="3">
          <reference field="1" count="1" selected="0">
            <x v="0"/>
          </reference>
          <reference field="2" count="1" selected="0">
            <x v="13"/>
          </reference>
          <reference field="4" count="3">
            <x v="0"/>
            <x v="19"/>
            <x v="41"/>
          </reference>
        </references>
      </pivotArea>
    </format>
    <format dxfId="242">
      <pivotArea collapsedLevelsAreSubtotals="1" fieldPosition="0">
        <references count="3">
          <reference field="1" count="1" selected="0">
            <x v="0"/>
          </reference>
          <reference field="2" count="1" selected="0">
            <x v="14"/>
          </reference>
          <reference field="4" count="4">
            <x v="23"/>
            <x v="27"/>
            <x v="47"/>
            <x v="60"/>
          </reference>
        </references>
      </pivotArea>
    </format>
    <format dxfId="241">
      <pivotArea collapsedLevelsAreSubtotals="1" fieldPosition="0">
        <references count="3">
          <reference field="1" count="1" selected="0">
            <x v="1"/>
          </reference>
          <reference field="2" count="1" selected="0">
            <x v="5"/>
          </reference>
          <reference field="4" count="1">
            <x v="48"/>
          </reference>
        </references>
      </pivotArea>
    </format>
    <format dxfId="240">
      <pivotArea collapsedLevelsAreSubtotals="1" fieldPosition="0">
        <references count="3">
          <reference field="1" count="1" selected="0">
            <x v="1"/>
          </reference>
          <reference field="2" count="1" selected="0">
            <x v="7"/>
          </reference>
          <reference field="4" count="19">
            <x v="2"/>
            <x v="3"/>
            <x v="4"/>
            <x v="11"/>
            <x v="12"/>
            <x v="16"/>
            <x v="17"/>
            <x v="20"/>
            <x v="21"/>
            <x v="22"/>
            <x v="30"/>
            <x v="35"/>
            <x v="36"/>
            <x v="50"/>
            <x v="69"/>
            <x v="70"/>
            <x v="71"/>
            <x v="72"/>
            <x v="73"/>
          </reference>
        </references>
      </pivotArea>
    </format>
    <format dxfId="239">
      <pivotArea collapsedLevelsAreSubtotals="1" fieldPosition="0">
        <references count="3">
          <reference field="1" count="1" selected="0">
            <x v="1"/>
          </reference>
          <reference field="2" count="1" selected="0">
            <x v="8"/>
          </reference>
          <reference field="4" count="1">
            <x v="9"/>
          </reference>
        </references>
      </pivotArea>
    </format>
    <format dxfId="238">
      <pivotArea collapsedLevelsAreSubtotals="1" fieldPosition="0">
        <references count="3">
          <reference field="1" count="1" selected="0">
            <x v="1"/>
          </reference>
          <reference field="2" count="1" selected="0">
            <x v="11"/>
          </reference>
          <reference field="4" count="1">
            <x v="43"/>
          </reference>
        </references>
      </pivotArea>
    </format>
    <format dxfId="237">
      <pivotArea collapsedLevelsAreSubtotals="1" fieldPosition="0">
        <references count="3">
          <reference field="1" count="1" selected="0">
            <x v="1"/>
          </reference>
          <reference field="2" count="1" selected="0">
            <x v="15"/>
          </reference>
          <reference field="4" count="2">
            <x v="10"/>
            <x v="29"/>
          </reference>
        </references>
      </pivotArea>
    </format>
    <format dxfId="236">
      <pivotArea dataOnly="0" labelOnly="1" fieldPosition="0">
        <references count="3">
          <reference field="1" count="1" selected="0">
            <x v="0"/>
          </reference>
          <reference field="2" count="1" selected="0">
            <x v="0"/>
          </reference>
          <reference field="4" count="2">
            <x v="8"/>
            <x v="51"/>
          </reference>
        </references>
      </pivotArea>
    </format>
    <format dxfId="235">
      <pivotArea dataOnly="0" labelOnly="1" fieldPosition="0">
        <references count="3">
          <reference field="1" count="1" selected="0">
            <x v="0"/>
          </reference>
          <reference field="2" count="1" selected="0">
            <x v="1"/>
          </reference>
          <reference field="4" count="9">
            <x v="5"/>
            <x v="6"/>
            <x v="18"/>
            <x v="24"/>
            <x v="28"/>
            <x v="31"/>
            <x v="37"/>
            <x v="42"/>
            <x v="46"/>
          </reference>
        </references>
      </pivotArea>
    </format>
    <format dxfId="234">
      <pivotArea dataOnly="0" labelOnly="1" fieldPosition="0">
        <references count="3">
          <reference field="1" count="1" selected="0">
            <x v="0"/>
          </reference>
          <reference field="2" count="1" selected="0">
            <x v="2"/>
          </reference>
          <reference field="4" count="4">
            <x v="7"/>
            <x v="39"/>
            <x v="40"/>
            <x v="77"/>
          </reference>
        </references>
      </pivotArea>
    </format>
    <format dxfId="233">
      <pivotArea dataOnly="0" labelOnly="1" fieldPosition="0">
        <references count="3">
          <reference field="1" count="1" selected="0">
            <x v="0"/>
          </reference>
          <reference field="2" count="1" selected="0">
            <x v="3"/>
          </reference>
          <reference field="4" count="2">
            <x v="25"/>
            <x v="34"/>
          </reference>
        </references>
      </pivotArea>
    </format>
    <format dxfId="232">
      <pivotArea dataOnly="0" labelOnly="1" fieldPosition="0">
        <references count="3">
          <reference field="1" count="1" selected="0">
            <x v="0"/>
          </reference>
          <reference field="2" count="1" selected="0">
            <x v="4"/>
          </reference>
          <reference field="4" count="1">
            <x v="38"/>
          </reference>
        </references>
      </pivotArea>
    </format>
    <format dxfId="231">
      <pivotArea dataOnly="0" labelOnly="1" fieldPosition="0">
        <references count="3">
          <reference field="1" count="1" selected="0">
            <x v="0"/>
          </reference>
          <reference field="2" count="1" selected="0">
            <x v="6"/>
          </reference>
          <reference field="4" count="20">
            <x v="13"/>
            <x v="14"/>
            <x v="15"/>
            <x v="26"/>
            <x v="52"/>
            <x v="53"/>
            <x v="54"/>
            <x v="55"/>
            <x v="56"/>
            <x v="61"/>
            <x v="62"/>
            <x v="63"/>
            <x v="64"/>
            <x v="65"/>
            <x v="66"/>
            <x v="67"/>
            <x v="68"/>
            <x v="74"/>
            <x v="75"/>
            <x v="76"/>
          </reference>
        </references>
      </pivotArea>
    </format>
    <format dxfId="230">
      <pivotArea dataOnly="0" labelOnly="1" fieldPosition="0">
        <references count="3">
          <reference field="1" count="1" selected="0">
            <x v="0"/>
          </reference>
          <reference field="2" count="1" selected="0">
            <x v="9"/>
          </reference>
          <reference field="4" count="2">
            <x v="32"/>
            <x v="33"/>
          </reference>
        </references>
      </pivotArea>
    </format>
    <format dxfId="229">
      <pivotArea dataOnly="0" labelOnly="1" fieldPosition="0">
        <references count="3">
          <reference field="1" count="1" selected="0">
            <x v="0"/>
          </reference>
          <reference field="2" count="1" selected="0">
            <x v="10"/>
          </reference>
          <reference field="4" count="4">
            <x v="44"/>
            <x v="45"/>
            <x v="49"/>
            <x v="59"/>
          </reference>
        </references>
      </pivotArea>
    </format>
    <format dxfId="228">
      <pivotArea dataOnly="0" labelOnly="1" fieldPosition="0">
        <references count="3">
          <reference field="1" count="1" selected="0">
            <x v="0"/>
          </reference>
          <reference field="2" count="1" selected="0">
            <x v="12"/>
          </reference>
          <reference field="4" count="3">
            <x v="1"/>
            <x v="57"/>
            <x v="58"/>
          </reference>
        </references>
      </pivotArea>
    </format>
    <format dxfId="227">
      <pivotArea dataOnly="0" labelOnly="1" fieldPosition="0">
        <references count="3">
          <reference field="1" count="1" selected="0">
            <x v="0"/>
          </reference>
          <reference field="2" count="1" selected="0">
            <x v="13"/>
          </reference>
          <reference field="4" count="3">
            <x v="0"/>
            <x v="19"/>
            <x v="41"/>
          </reference>
        </references>
      </pivotArea>
    </format>
    <format dxfId="226">
      <pivotArea dataOnly="0" labelOnly="1" fieldPosition="0">
        <references count="3">
          <reference field="1" count="1" selected="0">
            <x v="0"/>
          </reference>
          <reference field="2" count="1" selected="0">
            <x v="14"/>
          </reference>
          <reference field="4" count="4">
            <x v="23"/>
            <x v="27"/>
            <x v="47"/>
            <x v="60"/>
          </reference>
        </references>
      </pivotArea>
    </format>
    <format dxfId="225">
      <pivotArea dataOnly="0" labelOnly="1" fieldPosition="0">
        <references count="3">
          <reference field="1" count="1" selected="0">
            <x v="1"/>
          </reference>
          <reference field="2" count="1" selected="0">
            <x v="5"/>
          </reference>
          <reference field="4" count="1">
            <x v="48"/>
          </reference>
        </references>
      </pivotArea>
    </format>
    <format dxfId="224">
      <pivotArea dataOnly="0" labelOnly="1" fieldPosition="0">
        <references count="3">
          <reference field="1" count="1" selected="0">
            <x v="1"/>
          </reference>
          <reference field="2" count="1" selected="0">
            <x v="7"/>
          </reference>
          <reference field="4" count="19">
            <x v="2"/>
            <x v="3"/>
            <x v="4"/>
            <x v="11"/>
            <x v="12"/>
            <x v="16"/>
            <x v="17"/>
            <x v="20"/>
            <x v="21"/>
            <x v="22"/>
            <x v="30"/>
            <x v="35"/>
            <x v="36"/>
            <x v="50"/>
            <x v="69"/>
            <x v="70"/>
            <x v="71"/>
            <x v="72"/>
            <x v="73"/>
          </reference>
        </references>
      </pivotArea>
    </format>
    <format dxfId="223">
      <pivotArea dataOnly="0" labelOnly="1" fieldPosition="0">
        <references count="3">
          <reference field="1" count="1" selected="0">
            <x v="1"/>
          </reference>
          <reference field="2" count="1" selected="0">
            <x v="8"/>
          </reference>
          <reference field="4" count="1">
            <x v="9"/>
          </reference>
        </references>
      </pivotArea>
    </format>
    <format dxfId="222">
      <pivotArea dataOnly="0" labelOnly="1" fieldPosition="0">
        <references count="3">
          <reference field="1" count="1" selected="0">
            <x v="1"/>
          </reference>
          <reference field="2" count="1" selected="0">
            <x v="11"/>
          </reference>
          <reference field="4" count="1">
            <x v="43"/>
          </reference>
        </references>
      </pivotArea>
    </format>
    <format dxfId="221">
      <pivotArea dataOnly="0" labelOnly="1" fieldPosition="0">
        <references count="3">
          <reference field="1" count="1" selected="0">
            <x v="1"/>
          </reference>
          <reference field="2" count="1" selected="0">
            <x v="15"/>
          </reference>
          <reference field="4" count="2">
            <x v="10"/>
            <x v="29"/>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9.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24"/>
  <sheetViews>
    <sheetView topLeftCell="C1" workbookViewId="0">
      <selection activeCell="E10" sqref="E10"/>
    </sheetView>
  </sheetViews>
  <sheetFormatPr baseColWidth="10" defaultRowHeight="15" x14ac:dyDescent="0.25"/>
  <cols>
    <col min="1" max="1" width="5.5703125" style="5" customWidth="1"/>
    <col min="2" max="2" width="20.85546875" style="5" customWidth="1"/>
    <col min="3" max="3" width="15.140625" style="5" bestFit="1" customWidth="1"/>
    <col min="4" max="4" width="20.7109375" style="5" customWidth="1"/>
    <col min="5" max="5" width="60.85546875" style="598" customWidth="1"/>
    <col min="6" max="6" width="11.42578125" style="5"/>
    <col min="7" max="7" width="10.7109375" style="5" customWidth="1"/>
    <col min="8" max="8" width="11.7109375" style="5" customWidth="1"/>
    <col min="9" max="9" width="10.42578125" style="5" customWidth="1"/>
    <col min="10" max="10" width="11" style="5" customWidth="1"/>
    <col min="11" max="11" width="9.42578125" style="5" customWidth="1"/>
    <col min="12" max="12" width="2.7109375" style="290" customWidth="1"/>
    <col min="13" max="13" width="10.5703125" style="5" hidden="1" customWidth="1"/>
    <col min="14" max="14" width="11.140625" style="5" customWidth="1"/>
    <col min="15" max="15" width="9" style="5" hidden="1" customWidth="1"/>
    <col min="16" max="16" width="9.42578125" style="5" customWidth="1"/>
    <col min="17" max="17" width="17.42578125" style="5" customWidth="1"/>
    <col min="18" max="18" width="11" style="5" hidden="1" customWidth="1"/>
    <col min="19" max="19" width="11.85546875" style="5" customWidth="1"/>
    <col min="20" max="20" width="16.7109375" style="5" customWidth="1"/>
    <col min="21" max="16384" width="11.42578125" style="5"/>
  </cols>
  <sheetData>
    <row r="1" spans="1:22" x14ac:dyDescent="0.25">
      <c r="V1" s="5" t="s">
        <v>403</v>
      </c>
    </row>
    <row r="3" spans="1:22" ht="15.75" thickBot="1" x14ac:dyDescent="0.3">
      <c r="V3" s="5" t="s">
        <v>404</v>
      </c>
    </row>
    <row r="4" spans="1:22" ht="60.75" thickBot="1" x14ac:dyDescent="0.3">
      <c r="A4" s="594" t="s">
        <v>408</v>
      </c>
      <c r="B4" s="596" t="s">
        <v>407</v>
      </c>
      <c r="C4" s="594" t="s">
        <v>320</v>
      </c>
      <c r="D4" s="595" t="s">
        <v>406</v>
      </c>
      <c r="E4" s="595" t="s">
        <v>374</v>
      </c>
      <c r="F4" s="595" t="s">
        <v>174</v>
      </c>
      <c r="G4" s="595" t="s">
        <v>402</v>
      </c>
      <c r="H4" s="595" t="s">
        <v>401</v>
      </c>
      <c r="I4" s="595" t="s">
        <v>299</v>
      </c>
      <c r="J4" s="595" t="s">
        <v>1</v>
      </c>
      <c r="K4" s="597" t="s">
        <v>215</v>
      </c>
      <c r="L4" s="670"/>
      <c r="M4" s="594" t="s">
        <v>90</v>
      </c>
      <c r="N4" s="595" t="s">
        <v>140</v>
      </c>
      <c r="O4" s="595" t="s">
        <v>373</v>
      </c>
      <c r="P4" s="595" t="s">
        <v>142</v>
      </c>
      <c r="Q4" s="595" t="s">
        <v>409</v>
      </c>
      <c r="R4" s="595" t="s">
        <v>107</v>
      </c>
      <c r="S4" s="595" t="s">
        <v>410</v>
      </c>
      <c r="T4" s="597" t="s">
        <v>411</v>
      </c>
    </row>
    <row r="5" spans="1:22" ht="75" x14ac:dyDescent="0.25">
      <c r="A5" s="607">
        <v>1</v>
      </c>
      <c r="B5" s="669" t="s">
        <v>398</v>
      </c>
      <c r="C5" s="794" t="s">
        <v>165</v>
      </c>
      <c r="D5" s="635" t="s">
        <v>136</v>
      </c>
      <c r="E5" s="636" t="s">
        <v>69</v>
      </c>
      <c r="F5" s="609" t="s">
        <v>191</v>
      </c>
      <c r="G5" s="609" t="s">
        <v>184</v>
      </c>
      <c r="H5" s="609" t="s">
        <v>183</v>
      </c>
      <c r="I5" s="609" t="s">
        <v>177</v>
      </c>
      <c r="J5" s="637">
        <v>1</v>
      </c>
      <c r="K5" s="651">
        <v>0</v>
      </c>
      <c r="L5" s="646"/>
      <c r="M5" s="659">
        <v>0.5</v>
      </c>
      <c r="N5" s="638">
        <v>0.5</v>
      </c>
      <c r="O5" s="637">
        <v>0.2</v>
      </c>
      <c r="P5" s="638">
        <v>0.2</v>
      </c>
      <c r="Q5" s="604" t="s">
        <v>405</v>
      </c>
      <c r="R5" s="605">
        <v>0.4</v>
      </c>
      <c r="S5" s="229">
        <v>0.4</v>
      </c>
      <c r="T5" s="639">
        <f>+VLOOKUP(E5,'Base Indicadores 1'!$B$7:$AK$85,35,0)</f>
        <v>0.2</v>
      </c>
    </row>
    <row r="6" spans="1:22" ht="30" customHeight="1" x14ac:dyDescent="0.25">
      <c r="A6" s="287">
        <v>2</v>
      </c>
      <c r="B6" s="602" t="s">
        <v>397</v>
      </c>
      <c r="C6" s="792"/>
      <c r="D6" s="668" t="s">
        <v>127</v>
      </c>
      <c r="E6" s="615" t="s">
        <v>30</v>
      </c>
      <c r="F6" s="610" t="s">
        <v>191</v>
      </c>
      <c r="G6" s="610" t="s">
        <v>190</v>
      </c>
      <c r="H6" s="610" t="s">
        <v>183</v>
      </c>
      <c r="I6" s="610" t="s">
        <v>177</v>
      </c>
      <c r="J6" s="619">
        <v>0.12</v>
      </c>
      <c r="K6" s="652">
        <v>0</v>
      </c>
      <c r="L6" s="646"/>
      <c r="M6" s="660">
        <v>0.09</v>
      </c>
      <c r="N6" s="620">
        <v>0.09</v>
      </c>
      <c r="O6" s="619">
        <v>0</v>
      </c>
      <c r="P6" s="620">
        <v>0</v>
      </c>
      <c r="Q6" s="592" t="s">
        <v>405</v>
      </c>
      <c r="R6" s="44">
        <v>0</v>
      </c>
      <c r="S6" s="230">
        <v>0</v>
      </c>
      <c r="T6" s="640">
        <f>+VLOOKUP(E6,'Base Indicadores 1'!$B$7:$AK$85,35,0)</f>
        <v>0</v>
      </c>
    </row>
    <row r="7" spans="1:22" ht="15.75" x14ac:dyDescent="0.25">
      <c r="A7" s="287">
        <v>4</v>
      </c>
      <c r="B7" s="602" t="s">
        <v>397</v>
      </c>
      <c r="C7" s="792"/>
      <c r="D7" s="795" t="s">
        <v>129</v>
      </c>
      <c r="E7" s="615" t="s">
        <v>32</v>
      </c>
      <c r="F7" s="610" t="s">
        <v>175</v>
      </c>
      <c r="G7" s="610" t="s">
        <v>184</v>
      </c>
      <c r="H7" s="610" t="s">
        <v>183</v>
      </c>
      <c r="I7" s="610" t="s">
        <v>178</v>
      </c>
      <c r="J7" s="619">
        <v>0.2</v>
      </c>
      <c r="K7" s="652">
        <v>0</v>
      </c>
      <c r="L7" s="646"/>
      <c r="M7" s="660">
        <v>0.13</v>
      </c>
      <c r="N7" s="620">
        <v>0.13</v>
      </c>
      <c r="O7" s="619">
        <v>0.10009999999999999</v>
      </c>
      <c r="P7" s="620">
        <v>0.10009999999999999</v>
      </c>
      <c r="Q7" s="592"/>
      <c r="R7" s="145">
        <v>0.76999999999999991</v>
      </c>
      <c r="S7" s="230">
        <v>0.50049999999999994</v>
      </c>
      <c r="T7" s="640">
        <f>+VLOOKUP(E7,'Base Indicadores 1'!$B$7:$AK$85,35,0)</f>
        <v>0.66949999999999987</v>
      </c>
    </row>
    <row r="8" spans="1:22" ht="60" x14ac:dyDescent="0.25">
      <c r="A8" s="287">
        <v>5</v>
      </c>
      <c r="B8" s="602" t="s">
        <v>395</v>
      </c>
      <c r="C8" s="792"/>
      <c r="D8" s="796"/>
      <c r="E8" s="615" t="s">
        <v>44</v>
      </c>
      <c r="F8" s="610" t="s">
        <v>175</v>
      </c>
      <c r="G8" s="610" t="s">
        <v>184</v>
      </c>
      <c r="H8" s="610" t="s">
        <v>193</v>
      </c>
      <c r="I8" s="610" t="s">
        <v>178</v>
      </c>
      <c r="J8" s="617">
        <v>1500000</v>
      </c>
      <c r="K8" s="653">
        <v>0</v>
      </c>
      <c r="L8" s="647"/>
      <c r="M8" s="661">
        <v>1000000</v>
      </c>
      <c r="N8" s="622">
        <v>1000000</v>
      </c>
      <c r="O8" s="621">
        <v>730411</v>
      </c>
      <c r="P8" s="622">
        <v>730411</v>
      </c>
      <c r="Q8" s="592"/>
      <c r="R8" s="145">
        <v>0.73041100000000003</v>
      </c>
      <c r="S8" s="230">
        <v>0.48694066666666669</v>
      </c>
      <c r="T8" s="640">
        <f>+VLOOKUP(E8,'Base Indicadores 1'!$B$7:$AK$85,35,0)</f>
        <v>0.66192533333333337</v>
      </c>
    </row>
    <row r="9" spans="1:22" ht="45" x14ac:dyDescent="0.25">
      <c r="A9" s="287">
        <v>6</v>
      </c>
      <c r="B9" s="602" t="s">
        <v>392</v>
      </c>
      <c r="C9" s="792"/>
      <c r="D9" s="795" t="s">
        <v>123</v>
      </c>
      <c r="E9" s="615" t="s">
        <v>3</v>
      </c>
      <c r="F9" s="612" t="s">
        <v>185</v>
      </c>
      <c r="G9" s="612" t="s">
        <v>184</v>
      </c>
      <c r="H9" s="612" t="s">
        <v>186</v>
      </c>
      <c r="I9" s="612" t="s">
        <v>177</v>
      </c>
      <c r="J9" s="619">
        <v>0.45</v>
      </c>
      <c r="K9" s="652">
        <v>0.372</v>
      </c>
      <c r="L9" s="646"/>
      <c r="M9" s="660">
        <v>0.43009999999999998</v>
      </c>
      <c r="N9" s="620">
        <v>0.43009999999999998</v>
      </c>
      <c r="O9" s="619">
        <v>0.42370000000000002</v>
      </c>
      <c r="P9" s="620">
        <v>0.42370000000000002</v>
      </c>
      <c r="Q9" s="592" t="s">
        <v>405</v>
      </c>
      <c r="R9" s="145">
        <v>0.88984509466437245</v>
      </c>
      <c r="S9" s="230">
        <v>0.66282051282051302</v>
      </c>
      <c r="T9" s="640">
        <f>+VLOOKUP(E9,'Base Indicadores 1'!$B$7:$AK$85,35,0)</f>
        <v>1.0897435897435899</v>
      </c>
    </row>
    <row r="10" spans="1:22" ht="45" x14ac:dyDescent="0.25">
      <c r="A10" s="287">
        <v>7</v>
      </c>
      <c r="B10" s="602" t="s">
        <v>392</v>
      </c>
      <c r="C10" s="792"/>
      <c r="D10" s="797"/>
      <c r="E10" s="615" t="s">
        <v>5</v>
      </c>
      <c r="F10" s="612" t="s">
        <v>185</v>
      </c>
      <c r="G10" s="612" t="s">
        <v>187</v>
      </c>
      <c r="H10" s="612" t="s">
        <v>183</v>
      </c>
      <c r="I10" s="612" t="s">
        <v>177</v>
      </c>
      <c r="J10" s="619">
        <v>2.5000000000000001E-2</v>
      </c>
      <c r="K10" s="652">
        <v>3.1E-2</v>
      </c>
      <c r="L10" s="646"/>
      <c r="M10" s="660">
        <v>2.8799999999999999E-2</v>
      </c>
      <c r="N10" s="620">
        <v>2.8799999999999999E-2</v>
      </c>
      <c r="O10" s="619">
        <v>3.0800000000000001E-2</v>
      </c>
      <c r="P10" s="620">
        <v>3.0800000000000001E-2</v>
      </c>
      <c r="Q10" s="592"/>
      <c r="R10" s="145">
        <v>9.0909090909090329E-2</v>
      </c>
      <c r="S10" s="230">
        <v>9.0909090909090329E-2</v>
      </c>
      <c r="T10" s="640">
        <f>+VLOOKUP(E10,'Base Indicadores 1'!$B$7:$AK$85,35,0)</f>
        <v>3.3333333333333139E-2</v>
      </c>
    </row>
    <row r="11" spans="1:22" ht="15.75" x14ac:dyDescent="0.25">
      <c r="A11" s="287">
        <v>8</v>
      </c>
      <c r="B11" s="602" t="s">
        <v>397</v>
      </c>
      <c r="C11" s="792"/>
      <c r="D11" s="797"/>
      <c r="E11" s="615" t="s">
        <v>2</v>
      </c>
      <c r="F11" s="610" t="s">
        <v>185</v>
      </c>
      <c r="G11" s="610" t="s">
        <v>184</v>
      </c>
      <c r="H11" s="610" t="s">
        <v>186</v>
      </c>
      <c r="I11" s="610" t="s">
        <v>177</v>
      </c>
      <c r="J11" s="619">
        <v>0.83</v>
      </c>
      <c r="K11" s="652">
        <v>0.77300000000000002</v>
      </c>
      <c r="L11" s="646"/>
      <c r="M11" s="660">
        <v>0.81899999999999995</v>
      </c>
      <c r="N11" s="620">
        <v>0.81899999999999995</v>
      </c>
      <c r="O11" s="619">
        <v>0.80110000000000003</v>
      </c>
      <c r="P11" s="620">
        <v>0.80110000000000003</v>
      </c>
      <c r="Q11" s="592"/>
      <c r="R11" s="145">
        <v>0.61086956521739255</v>
      </c>
      <c r="S11" s="230">
        <v>0.49298245614035163</v>
      </c>
      <c r="T11" s="640">
        <f>+VLOOKUP(E11,'Base Indicadores 1'!$B$7:$AK$85,35,0)</f>
        <v>0.49298245614035163</v>
      </c>
    </row>
    <row r="12" spans="1:22" ht="45" x14ac:dyDescent="0.25">
      <c r="A12" s="287">
        <v>9</v>
      </c>
      <c r="B12" s="602" t="s">
        <v>394</v>
      </c>
      <c r="C12" s="792"/>
      <c r="D12" s="797"/>
      <c r="E12" s="615" t="s">
        <v>156</v>
      </c>
      <c r="F12" s="610" t="s">
        <v>185</v>
      </c>
      <c r="G12" s="610" t="s">
        <v>184</v>
      </c>
      <c r="H12" s="610" t="s">
        <v>186</v>
      </c>
      <c r="I12" s="610" t="s">
        <v>177</v>
      </c>
      <c r="J12" s="619">
        <v>0.69</v>
      </c>
      <c r="K12" s="652">
        <v>0.621</v>
      </c>
      <c r="L12" s="646"/>
      <c r="M12" s="660">
        <v>0.67976000000000003</v>
      </c>
      <c r="N12" s="620">
        <v>0.67976000000000003</v>
      </c>
      <c r="O12" s="619">
        <v>0.66759999999999997</v>
      </c>
      <c r="P12" s="620">
        <v>0.66759999999999997</v>
      </c>
      <c r="Q12" s="592"/>
      <c r="R12" s="145">
        <v>0.79305650102110192</v>
      </c>
      <c r="S12" s="230">
        <v>0.67536231884057984</v>
      </c>
      <c r="T12" s="640">
        <f>+VLOOKUP(E12,'Base Indicadores 1'!$B$7:$AK$85,35,0)</f>
        <v>0.67536231884057984</v>
      </c>
    </row>
    <row r="13" spans="1:22" ht="30" x14ac:dyDescent="0.25">
      <c r="A13" s="287">
        <v>10</v>
      </c>
      <c r="B13" s="602" t="s">
        <v>399</v>
      </c>
      <c r="C13" s="792"/>
      <c r="D13" s="797"/>
      <c r="E13" s="615" t="s">
        <v>26</v>
      </c>
      <c r="F13" s="610" t="s">
        <v>191</v>
      </c>
      <c r="G13" s="610" t="s">
        <v>187</v>
      </c>
      <c r="H13" s="612" t="s">
        <v>195</v>
      </c>
      <c r="I13" s="610" t="s">
        <v>177</v>
      </c>
      <c r="J13" s="617">
        <v>553408</v>
      </c>
      <c r="K13" s="653">
        <v>690512</v>
      </c>
      <c r="L13" s="647"/>
      <c r="M13" s="661">
        <v>603443</v>
      </c>
      <c r="N13" s="622">
        <v>603443</v>
      </c>
      <c r="O13" s="621">
        <v>660327</v>
      </c>
      <c r="P13" s="622">
        <v>660327</v>
      </c>
      <c r="Q13" s="592"/>
      <c r="R13" s="145">
        <v>0.34667907062215025</v>
      </c>
      <c r="S13" s="230">
        <v>0.34667907062215025</v>
      </c>
      <c r="T13" s="640">
        <f>+VLOOKUP(E13,'Base Indicadores 1'!$B$7:$AK$85,35,0)</f>
        <v>0.22016133737892402</v>
      </c>
    </row>
    <row r="14" spans="1:22" ht="30" x14ac:dyDescent="0.25">
      <c r="A14" s="287">
        <v>11</v>
      </c>
      <c r="B14" s="602" t="s">
        <v>400</v>
      </c>
      <c r="C14" s="792"/>
      <c r="D14" s="797"/>
      <c r="E14" s="615" t="s">
        <v>19</v>
      </c>
      <c r="F14" s="610" t="s">
        <v>185</v>
      </c>
      <c r="G14" s="610" t="s">
        <v>184</v>
      </c>
      <c r="H14" s="610" t="s">
        <v>186</v>
      </c>
      <c r="I14" s="610" t="s">
        <v>177</v>
      </c>
      <c r="J14" s="619">
        <v>0.91039999999999999</v>
      </c>
      <c r="K14" s="652">
        <v>0.83819999999999995</v>
      </c>
      <c r="L14" s="646"/>
      <c r="M14" s="660">
        <v>0.86599999999999999</v>
      </c>
      <c r="N14" s="620">
        <v>0.86599999999999999</v>
      </c>
      <c r="O14" s="619">
        <v>0.82850000000000001</v>
      </c>
      <c r="P14" s="620">
        <v>0.82850000000000001</v>
      </c>
      <c r="Q14" s="592"/>
      <c r="R14" s="145">
        <v>-0.34892086330934946</v>
      </c>
      <c r="S14" s="230">
        <v>-0.13434903047091309</v>
      </c>
      <c r="T14" s="640">
        <f>+VLOOKUP(E14,'Base Indicadores 1'!$B$7:$AK$85,35,0)</f>
        <v>0.9100395430579965</v>
      </c>
    </row>
    <row r="15" spans="1:22" ht="30" x14ac:dyDescent="0.25">
      <c r="A15" s="287">
        <v>12</v>
      </c>
      <c r="B15" s="602" t="s">
        <v>400</v>
      </c>
      <c r="C15" s="792"/>
      <c r="D15" s="796"/>
      <c r="E15" s="615" t="s">
        <v>13</v>
      </c>
      <c r="F15" s="612" t="s">
        <v>185</v>
      </c>
      <c r="G15" s="612" t="s">
        <v>184</v>
      </c>
      <c r="H15" s="612" t="s">
        <v>186</v>
      </c>
      <c r="I15" s="612" t="s">
        <v>177</v>
      </c>
      <c r="J15" s="627">
        <v>0.84330000000000005</v>
      </c>
      <c r="K15" s="654">
        <v>0.73</v>
      </c>
      <c r="L15" s="648"/>
      <c r="M15" s="662">
        <v>0.82069999999999999</v>
      </c>
      <c r="N15" s="628">
        <v>0.70930000000000004</v>
      </c>
      <c r="O15" s="627">
        <v>0.75449999999999995</v>
      </c>
      <c r="P15" s="628">
        <v>0.75449999999999995</v>
      </c>
      <c r="Q15" s="592"/>
      <c r="R15" s="145">
        <v>0.27012127894156523</v>
      </c>
      <c r="S15" s="230">
        <v>0.21624007060900222</v>
      </c>
      <c r="T15" s="640">
        <f>+VLOOKUP(E15,'Base Indicadores 1'!$B$7:$AK$85,35,0)</f>
        <v>0.21624007060900222</v>
      </c>
    </row>
    <row r="16" spans="1:22" ht="90" x14ac:dyDescent="0.25">
      <c r="A16" s="287">
        <v>13</v>
      </c>
      <c r="B16" s="602" t="s">
        <v>391</v>
      </c>
      <c r="C16" s="792"/>
      <c r="D16" s="612" t="s">
        <v>137</v>
      </c>
      <c r="E16" s="615" t="s">
        <v>71</v>
      </c>
      <c r="F16" s="612" t="s">
        <v>175</v>
      </c>
      <c r="G16" s="612" t="s">
        <v>188</v>
      </c>
      <c r="H16" s="612" t="s">
        <v>195</v>
      </c>
      <c r="I16" s="612" t="s">
        <v>177</v>
      </c>
      <c r="J16" s="613">
        <v>46000</v>
      </c>
      <c r="K16" s="655">
        <v>43429</v>
      </c>
      <c r="L16" s="649"/>
      <c r="M16" s="663">
        <v>15000</v>
      </c>
      <c r="N16" s="614">
        <v>31000</v>
      </c>
      <c r="O16" s="613">
        <v>3135</v>
      </c>
      <c r="P16" s="614">
        <v>6560</v>
      </c>
      <c r="Q16" s="592"/>
      <c r="R16" s="623">
        <v>0.20899999999999999</v>
      </c>
      <c r="S16" s="624">
        <v>0.21161290322580645</v>
      </c>
      <c r="T16" s="640">
        <f>+VLOOKUP(E16,'Base Indicadores 1'!$B$7:$AK$85,35,0)</f>
        <v>0.14260869565217391</v>
      </c>
    </row>
    <row r="17" spans="1:20" ht="90" x14ac:dyDescent="0.25">
      <c r="A17" s="287">
        <v>14</v>
      </c>
      <c r="B17" s="602" t="s">
        <v>391</v>
      </c>
      <c r="C17" s="792"/>
      <c r="D17" s="612" t="s">
        <v>138</v>
      </c>
      <c r="E17" s="615" t="s">
        <v>76</v>
      </c>
      <c r="F17" s="612" t="s">
        <v>175</v>
      </c>
      <c r="G17" s="612" t="s">
        <v>184</v>
      </c>
      <c r="H17" s="612" t="s">
        <v>183</v>
      </c>
      <c r="I17" s="612" t="s">
        <v>178</v>
      </c>
      <c r="J17" s="625">
        <v>0.5</v>
      </c>
      <c r="K17" s="656">
        <v>0</v>
      </c>
      <c r="L17" s="650"/>
      <c r="M17" s="664">
        <v>0.3</v>
      </c>
      <c r="N17" s="626">
        <v>0.3</v>
      </c>
      <c r="O17" s="625">
        <v>0.18</v>
      </c>
      <c r="P17" s="626">
        <v>0.18</v>
      </c>
      <c r="Q17" s="592"/>
      <c r="R17" s="623">
        <v>0.6</v>
      </c>
      <c r="S17" s="624">
        <v>0.6</v>
      </c>
      <c r="T17" s="640">
        <f>+VLOOKUP(E17,'Base Indicadores 1'!$B$7:$AK$85,35,0)</f>
        <v>0.64</v>
      </c>
    </row>
    <row r="18" spans="1:20" ht="45.75" thickBot="1" x14ac:dyDescent="0.3">
      <c r="A18" s="179">
        <v>15</v>
      </c>
      <c r="B18" s="603" t="s">
        <v>392</v>
      </c>
      <c r="C18" s="793"/>
      <c r="D18" s="608" t="s">
        <v>126</v>
      </c>
      <c r="E18" s="616" t="s">
        <v>11</v>
      </c>
      <c r="F18" s="608" t="s">
        <v>191</v>
      </c>
      <c r="G18" s="608" t="s">
        <v>190</v>
      </c>
      <c r="H18" s="608" t="s">
        <v>192</v>
      </c>
      <c r="I18" s="608" t="s">
        <v>177</v>
      </c>
      <c r="J18" s="644">
        <v>357218</v>
      </c>
      <c r="K18" s="657">
        <v>419082</v>
      </c>
      <c r="L18" s="647"/>
      <c r="M18" s="665">
        <v>35000</v>
      </c>
      <c r="N18" s="645">
        <v>327218</v>
      </c>
      <c r="O18" s="644">
        <v>52634</v>
      </c>
      <c r="P18" s="645">
        <v>209370</v>
      </c>
      <c r="Q18" s="593"/>
      <c r="R18" s="606">
        <v>1.5038285714285715</v>
      </c>
      <c r="S18" s="641">
        <v>0.63984866358207682</v>
      </c>
      <c r="T18" s="642">
        <f>+VLOOKUP(E18,'Base Indicadores 1'!$B$7:$AK$85,35,0)</f>
        <v>0.58611268189172994</v>
      </c>
    </row>
    <row r="19" spans="1:20" ht="45" x14ac:dyDescent="0.25">
      <c r="A19" s="600">
        <v>16</v>
      </c>
      <c r="B19" s="599" t="s">
        <v>396</v>
      </c>
      <c r="C19" s="792" t="s">
        <v>282</v>
      </c>
      <c r="D19" s="797" t="s">
        <v>134</v>
      </c>
      <c r="E19" s="629" t="s">
        <v>48</v>
      </c>
      <c r="F19" s="630" t="s">
        <v>191</v>
      </c>
      <c r="G19" s="630" t="s">
        <v>184</v>
      </c>
      <c r="H19" s="630" t="s">
        <v>183</v>
      </c>
      <c r="I19" s="630" t="s">
        <v>178</v>
      </c>
      <c r="J19" s="631">
        <v>0.9</v>
      </c>
      <c r="K19" s="658">
        <v>0.16500000000000001</v>
      </c>
      <c r="L19" s="646"/>
      <c r="M19" s="666">
        <v>0.6</v>
      </c>
      <c r="N19" s="632">
        <v>0.6</v>
      </c>
      <c r="O19" s="631">
        <v>0.53129999999999999</v>
      </c>
      <c r="P19" s="632">
        <v>0.53129999999999999</v>
      </c>
      <c r="Q19" s="601"/>
      <c r="R19" s="633">
        <v>0.84206896551724142</v>
      </c>
      <c r="S19" s="634">
        <v>0.49836734693877549</v>
      </c>
      <c r="T19" s="643">
        <f>+VLOOKUP(E19,'Base Indicadores 1'!$B$7:$AK$85,35,0)</f>
        <v>0.59183673469387743</v>
      </c>
    </row>
    <row r="20" spans="1:20" ht="30" x14ac:dyDescent="0.25">
      <c r="A20" s="287">
        <v>17</v>
      </c>
      <c r="B20" s="602" t="s">
        <v>400</v>
      </c>
      <c r="C20" s="792"/>
      <c r="D20" s="797"/>
      <c r="E20" s="615" t="s">
        <v>63</v>
      </c>
      <c r="F20" s="610" t="s">
        <v>191</v>
      </c>
      <c r="G20" s="610" t="s">
        <v>190</v>
      </c>
      <c r="H20" s="610" t="s">
        <v>204</v>
      </c>
      <c r="I20" s="610" t="s">
        <v>177</v>
      </c>
      <c r="J20" s="617">
        <v>7000</v>
      </c>
      <c r="K20" s="653">
        <v>14623</v>
      </c>
      <c r="L20" s="647"/>
      <c r="M20" s="661">
        <v>5000</v>
      </c>
      <c r="N20" s="622">
        <v>5000</v>
      </c>
      <c r="O20" s="621">
        <v>3244</v>
      </c>
      <c r="P20" s="622">
        <v>3244</v>
      </c>
      <c r="Q20" s="592"/>
      <c r="R20" s="145">
        <v>0.64880000000000004</v>
      </c>
      <c r="S20" s="230">
        <v>0.64880000000000004</v>
      </c>
      <c r="T20" s="640">
        <f>+VLOOKUP(E20,'Base Indicadores 1'!$B$7:$AK$85,35,0)</f>
        <v>0.46342857142857141</v>
      </c>
    </row>
    <row r="21" spans="1:20" ht="30" x14ac:dyDescent="0.25">
      <c r="A21" s="287">
        <v>19</v>
      </c>
      <c r="B21" s="602" t="s">
        <v>393</v>
      </c>
      <c r="C21" s="792"/>
      <c r="D21" s="797"/>
      <c r="E21" s="615" t="s">
        <v>53</v>
      </c>
      <c r="F21" s="610" t="s">
        <v>185</v>
      </c>
      <c r="G21" s="610" t="s">
        <v>187</v>
      </c>
      <c r="H21" s="610" t="s">
        <v>186</v>
      </c>
      <c r="I21" s="610" t="s">
        <v>177</v>
      </c>
      <c r="J21" s="619">
        <v>0.15</v>
      </c>
      <c r="K21" s="652">
        <v>0.19400000000000001</v>
      </c>
      <c r="L21" s="646"/>
      <c r="M21" s="660">
        <v>0.161</v>
      </c>
      <c r="N21" s="620">
        <v>0.161</v>
      </c>
      <c r="O21" s="619">
        <v>0.17100000000000001</v>
      </c>
      <c r="P21" s="620">
        <v>0.17100000000000001</v>
      </c>
      <c r="Q21" s="592"/>
      <c r="R21" s="145">
        <v>0.69696969696969668</v>
      </c>
      <c r="S21" s="230">
        <v>0.69696969696969668</v>
      </c>
      <c r="T21" s="640">
        <f>+VLOOKUP(E21,'Base Indicadores 1'!$B$7:$AK$85,35,0)</f>
        <v>0.52272727272727237</v>
      </c>
    </row>
    <row r="22" spans="1:20" ht="45" x14ac:dyDescent="0.25">
      <c r="A22" s="287">
        <v>20</v>
      </c>
      <c r="B22" s="602" t="s">
        <v>393</v>
      </c>
      <c r="C22" s="792"/>
      <c r="D22" s="797"/>
      <c r="E22" s="615" t="s">
        <v>51</v>
      </c>
      <c r="F22" s="610" t="s">
        <v>185</v>
      </c>
      <c r="G22" s="610" t="s">
        <v>190</v>
      </c>
      <c r="H22" s="610" t="s">
        <v>183</v>
      </c>
      <c r="I22" s="610" t="s">
        <v>177</v>
      </c>
      <c r="J22" s="619">
        <v>0.15</v>
      </c>
      <c r="K22" s="652">
        <v>0.1</v>
      </c>
      <c r="L22" s="646"/>
      <c r="M22" s="660">
        <v>0.13700000000000001</v>
      </c>
      <c r="N22" s="620">
        <v>0.13700000000000001</v>
      </c>
      <c r="O22" s="619">
        <v>9.0999999999999998E-2</v>
      </c>
      <c r="P22" s="620">
        <v>9.0999999999999998E-2</v>
      </c>
      <c r="Q22" s="592"/>
      <c r="R22" s="145">
        <v>0.66423357664233573</v>
      </c>
      <c r="S22" s="230">
        <v>0.66423357664233573</v>
      </c>
      <c r="T22" s="640">
        <f>+VLOOKUP(E22,'Base Indicadores 1'!$B$7:$AK$85,35,0)</f>
        <v>0.60666666666666669</v>
      </c>
    </row>
    <row r="23" spans="1:20" ht="30" x14ac:dyDescent="0.25">
      <c r="A23" s="287">
        <v>21</v>
      </c>
      <c r="B23" s="602" t="s">
        <v>393</v>
      </c>
      <c r="C23" s="792"/>
      <c r="D23" s="796"/>
      <c r="E23" s="615" t="s">
        <v>52</v>
      </c>
      <c r="F23" s="610" t="s">
        <v>191</v>
      </c>
      <c r="G23" s="610" t="s">
        <v>190</v>
      </c>
      <c r="H23" s="610" t="s">
        <v>204</v>
      </c>
      <c r="I23" s="610" t="s">
        <v>177</v>
      </c>
      <c r="J23" s="617">
        <v>150000</v>
      </c>
      <c r="K23" s="653">
        <v>168664</v>
      </c>
      <c r="L23" s="647"/>
      <c r="M23" s="667">
        <v>110715</v>
      </c>
      <c r="N23" s="618">
        <v>110715</v>
      </c>
      <c r="O23" s="617">
        <v>20855</v>
      </c>
      <c r="P23" s="618">
        <v>20855</v>
      </c>
      <c r="Q23" s="592"/>
      <c r="R23" s="145">
        <v>0.18836652666756989</v>
      </c>
      <c r="S23" s="230">
        <v>0.18836652666756989</v>
      </c>
      <c r="T23" s="640">
        <f>+VLOOKUP(E23,'Base Indicadores 1'!$B$7:$AK$85,35,0)</f>
        <v>0.13903333333333334</v>
      </c>
    </row>
    <row r="24" spans="1:20" ht="45" customHeight="1" thickBot="1" x14ac:dyDescent="0.3">
      <c r="A24" s="287">
        <v>22</v>
      </c>
      <c r="B24" s="602" t="s">
        <v>393</v>
      </c>
      <c r="C24" s="793"/>
      <c r="D24" s="608" t="s">
        <v>133</v>
      </c>
      <c r="E24" s="616" t="s">
        <v>47</v>
      </c>
      <c r="F24" s="611" t="s">
        <v>175</v>
      </c>
      <c r="G24" s="611" t="s">
        <v>184</v>
      </c>
      <c r="H24" s="611" t="s">
        <v>193</v>
      </c>
      <c r="I24" s="611" t="s">
        <v>180</v>
      </c>
      <c r="J24" s="644">
        <v>2000</v>
      </c>
      <c r="K24" s="657">
        <v>117</v>
      </c>
      <c r="L24" s="671"/>
      <c r="M24" s="665">
        <v>1000</v>
      </c>
      <c r="N24" s="645">
        <v>1000</v>
      </c>
      <c r="O24" s="644">
        <v>621</v>
      </c>
      <c r="P24" s="645">
        <v>621</v>
      </c>
      <c r="Q24" s="593"/>
      <c r="R24" s="606">
        <v>0.57078142695356737</v>
      </c>
      <c r="S24" s="641">
        <v>0.26765799256505574</v>
      </c>
      <c r="T24" s="642">
        <f>+VLOOKUP(E24,'Base Indicadores 1'!$B$7:$AK$85,35,0)</f>
        <v>0.37015400955921401</v>
      </c>
    </row>
  </sheetData>
  <autoFilter ref="A4:W24" xr:uid="{00000000-0009-0000-0000-000003000000}"/>
  <sortState xmlns:xlrd2="http://schemas.microsoft.com/office/spreadsheetml/2017/richdata2" ref="B5:T24">
    <sortCondition ref="C5:C24"/>
    <sortCondition ref="D5:D24"/>
    <sortCondition ref="B5:B24"/>
  </sortState>
  <mergeCells count="5">
    <mergeCell ref="C19:C24"/>
    <mergeCell ref="C5:C18"/>
    <mergeCell ref="D7:D8"/>
    <mergeCell ref="D9:D15"/>
    <mergeCell ref="D19:D23"/>
  </mergeCells>
  <conditionalFormatting sqref="R10:S15">
    <cfRule type="iconSet" priority="27">
      <iconSet iconSet="3TrafficLights2">
        <cfvo type="percent" val="0"/>
        <cfvo type="num" val="0.98"/>
        <cfvo type="num" val="1"/>
      </iconSet>
    </cfRule>
  </conditionalFormatting>
  <conditionalFormatting sqref="R20:S20">
    <cfRule type="iconSet" priority="25">
      <iconSet iconSet="3TrafficLights2">
        <cfvo type="percent" val="0"/>
        <cfvo type="num" val="0.98"/>
        <cfvo type="num" val="1"/>
      </iconSet>
    </cfRule>
  </conditionalFormatting>
  <conditionalFormatting sqref="R17:S17">
    <cfRule type="iconSet" priority="18">
      <iconSet iconSet="3TrafficLights2">
        <cfvo type="percent" val="0"/>
        <cfvo type="num" val="0.98"/>
        <cfvo type="num" val="1"/>
      </iconSet>
    </cfRule>
  </conditionalFormatting>
  <conditionalFormatting sqref="R5:S6">
    <cfRule type="iconSet" priority="177">
      <iconSet iconSet="3TrafficLights2">
        <cfvo type="percent" val="0"/>
        <cfvo type="num" val="0.98"/>
        <cfvo type="num" val="1"/>
      </iconSet>
    </cfRule>
  </conditionalFormatting>
  <conditionalFormatting sqref="R9:S9">
    <cfRule type="iconSet" priority="179">
      <iconSet iconSet="3TrafficLights2">
        <cfvo type="percent" val="0"/>
        <cfvo type="num" val="0.98"/>
        <cfvo type="num" val="1"/>
      </iconSet>
    </cfRule>
  </conditionalFormatting>
  <conditionalFormatting sqref="R16:S16">
    <cfRule type="iconSet" priority="180">
      <iconSet iconSet="3TrafficLights2">
        <cfvo type="percent" val="0"/>
        <cfvo type="num" val="0.98"/>
        <cfvo type="num" val="1"/>
      </iconSet>
    </cfRule>
  </conditionalFormatting>
  <conditionalFormatting sqref="R18:S18">
    <cfRule type="iconSet" priority="181">
      <iconSet iconSet="3TrafficLights2">
        <cfvo type="percent" val="0"/>
        <cfvo type="num" val="0.98"/>
        <cfvo type="num" val="1"/>
      </iconSet>
    </cfRule>
  </conditionalFormatting>
  <conditionalFormatting sqref="R22:S22">
    <cfRule type="iconSet" priority="183">
      <iconSet iconSet="3TrafficLights2">
        <cfvo type="percent" val="0"/>
        <cfvo type="num" val="0.98"/>
        <cfvo type="num" val="1"/>
      </iconSet>
    </cfRule>
  </conditionalFormatting>
  <conditionalFormatting sqref="R23:S23">
    <cfRule type="iconSet" priority="184">
      <iconSet iconSet="3TrafficLights2">
        <cfvo type="percent" val="0"/>
        <cfvo type="num" val="0.98"/>
        <cfvo type="num" val="1"/>
      </iconSet>
    </cfRule>
  </conditionalFormatting>
  <conditionalFormatting sqref="R24:S24">
    <cfRule type="iconSet" priority="185">
      <iconSet iconSet="3TrafficLights2">
        <cfvo type="percent" val="0"/>
        <cfvo type="num" val="0.98"/>
        <cfvo type="num" val="1"/>
      </iconSet>
    </cfRule>
  </conditionalFormatting>
  <conditionalFormatting sqref="R19:S19 R21:S21">
    <cfRule type="iconSet" priority="187">
      <iconSet iconSet="3TrafficLights2">
        <cfvo type="percent" val="0"/>
        <cfvo type="num" val="0.98"/>
        <cfvo type="num" val="1"/>
      </iconSet>
    </cfRule>
  </conditionalFormatting>
  <conditionalFormatting sqref="R7:S8">
    <cfRule type="iconSet" priority="190">
      <iconSet iconSet="3TrafficLights2">
        <cfvo type="percent" val="0"/>
        <cfvo type="num" val="0.98"/>
        <cfvo type="num" val="1"/>
      </iconSet>
    </cfRule>
  </conditionalFormatting>
  <conditionalFormatting sqref="T5:T24">
    <cfRule type="iconSet" priority="192">
      <iconSet iconSet="3TrafficLights2">
        <cfvo type="percent" val="0"/>
        <cfvo type="num" val="0.98"/>
        <cfvo type="num" val="1"/>
      </iconSet>
    </cfRule>
  </conditionalFormatting>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O92"/>
  <sheetViews>
    <sheetView view="pageBreakPreview" zoomScale="60" zoomScaleNormal="80" workbookViewId="0">
      <selection activeCell="E14" sqref="E14"/>
    </sheetView>
  </sheetViews>
  <sheetFormatPr baseColWidth="10" defaultRowHeight="15" x14ac:dyDescent="0.25"/>
  <cols>
    <col min="1" max="1" width="6.7109375" style="376" customWidth="1"/>
    <col min="2" max="2" width="21" style="376" customWidth="1"/>
    <col min="3" max="3" width="23" style="376" customWidth="1"/>
    <col min="4" max="4" width="11.42578125" style="376"/>
    <col min="5" max="5" width="55.140625" style="377" customWidth="1"/>
    <col min="6" max="6" width="16.42578125" style="376" customWidth="1"/>
    <col min="7" max="7" width="16.140625" style="376" customWidth="1"/>
    <col min="8" max="8" width="20.5703125" style="376" customWidth="1"/>
    <col min="9" max="9" width="18" style="376" customWidth="1"/>
    <col min="10" max="10" width="20.7109375" style="376" customWidth="1"/>
    <col min="11" max="11" width="16.28515625" style="376" bestFit="1" customWidth="1"/>
    <col min="12" max="12" width="19.85546875" style="376" customWidth="1"/>
    <col min="13" max="13" width="22.85546875" style="376" customWidth="1"/>
    <col min="14" max="14" width="19.5703125" style="376" customWidth="1"/>
    <col min="15" max="15" width="21.28515625" style="376" customWidth="1"/>
    <col min="16" max="16384" width="11.42578125" style="376"/>
  </cols>
  <sheetData>
    <row r="1" spans="1:15" ht="28.5" x14ac:dyDescent="0.45">
      <c r="B1" s="829" t="s">
        <v>290</v>
      </c>
      <c r="C1" s="829"/>
      <c r="D1" s="829"/>
      <c r="E1" s="829"/>
      <c r="F1" s="829"/>
      <c r="G1" s="829"/>
      <c r="H1" s="829"/>
      <c r="I1" s="829"/>
      <c r="J1" s="829"/>
      <c r="K1" s="829"/>
      <c r="L1" s="829"/>
      <c r="M1" s="829"/>
      <c r="N1" s="829"/>
      <c r="O1" s="829"/>
    </row>
    <row r="2" spans="1:15" ht="28.5" x14ac:dyDescent="0.45">
      <c r="B2" s="829" t="s">
        <v>291</v>
      </c>
      <c r="C2" s="829"/>
      <c r="D2" s="829"/>
      <c r="E2" s="829"/>
      <c r="F2" s="829"/>
      <c r="G2" s="829"/>
      <c r="H2" s="829"/>
      <c r="I2" s="829"/>
      <c r="J2" s="829"/>
      <c r="K2" s="829"/>
      <c r="L2" s="829"/>
      <c r="M2" s="829"/>
      <c r="N2" s="829"/>
      <c r="O2" s="829"/>
    </row>
    <row r="3" spans="1:15" ht="28.5" x14ac:dyDescent="0.45">
      <c r="B3" s="382"/>
      <c r="C3" s="382"/>
      <c r="D3" s="382"/>
      <c r="E3" s="383"/>
      <c r="F3" s="382"/>
      <c r="G3" s="382"/>
      <c r="H3" s="382"/>
      <c r="I3" s="382"/>
      <c r="J3" s="384"/>
      <c r="K3" s="385"/>
      <c r="L3" s="385"/>
      <c r="M3" s="386"/>
      <c r="N3" s="385"/>
      <c r="O3" s="385"/>
    </row>
    <row r="4" spans="1:15" ht="28.5" x14ac:dyDescent="0.45">
      <c r="B4" s="829" t="s">
        <v>294</v>
      </c>
      <c r="C4" s="829"/>
      <c r="D4" s="829"/>
      <c r="E4" s="829"/>
      <c r="F4" s="829"/>
      <c r="G4" s="829"/>
      <c r="H4" s="829"/>
      <c r="I4" s="829"/>
      <c r="J4" s="829"/>
      <c r="K4" s="829"/>
      <c r="L4" s="829"/>
      <c r="M4" s="829"/>
      <c r="N4" s="829"/>
      <c r="O4" s="829"/>
    </row>
    <row r="5" spans="1:15" ht="28.5" x14ac:dyDescent="0.45">
      <c r="B5" s="829" t="s">
        <v>292</v>
      </c>
      <c r="C5" s="829"/>
      <c r="D5" s="829"/>
      <c r="E5" s="829"/>
      <c r="F5" s="829"/>
      <c r="G5" s="829"/>
      <c r="H5" s="829"/>
      <c r="I5" s="829"/>
      <c r="J5" s="829"/>
      <c r="K5" s="829"/>
      <c r="L5" s="829"/>
      <c r="M5" s="829"/>
      <c r="N5" s="829"/>
      <c r="O5" s="829"/>
    </row>
    <row r="7" spans="1:15" ht="23.25" x14ac:dyDescent="0.35">
      <c r="B7" s="378" t="s">
        <v>296</v>
      </c>
    </row>
    <row r="8" spans="1:15" ht="15.75" thickBot="1" x14ac:dyDescent="0.3"/>
    <row r="9" spans="1:15" ht="70.5" thickBot="1" x14ac:dyDescent="0.3">
      <c r="B9" s="388" t="s">
        <v>100</v>
      </c>
      <c r="C9" s="389" t="s">
        <v>122</v>
      </c>
      <c r="D9" s="389" t="s">
        <v>300</v>
      </c>
      <c r="E9" s="389" t="s">
        <v>297</v>
      </c>
      <c r="F9" s="389" t="s">
        <v>174</v>
      </c>
      <c r="G9" s="389" t="s">
        <v>299</v>
      </c>
      <c r="H9" s="389" t="s">
        <v>173</v>
      </c>
      <c r="I9" s="389" t="s">
        <v>304</v>
      </c>
      <c r="J9" s="389" t="s">
        <v>301</v>
      </c>
      <c r="K9" s="389" t="s">
        <v>215</v>
      </c>
      <c r="L9" s="389" t="s">
        <v>90</v>
      </c>
      <c r="M9" s="389" t="s">
        <v>140</v>
      </c>
      <c r="N9" s="389" t="s">
        <v>302</v>
      </c>
      <c r="O9" s="390" t="s">
        <v>303</v>
      </c>
    </row>
    <row r="10" spans="1:15" ht="77.25" customHeight="1" x14ac:dyDescent="0.25">
      <c r="A10" s="379">
        <v>1</v>
      </c>
      <c r="B10" s="391" t="s">
        <v>101</v>
      </c>
      <c r="C10" s="392" t="s">
        <v>124</v>
      </c>
      <c r="D10" s="392" t="s">
        <v>212</v>
      </c>
      <c r="E10" s="393" t="s">
        <v>27</v>
      </c>
      <c r="F10" s="392" t="s">
        <v>175</v>
      </c>
      <c r="G10" s="392" t="s">
        <v>178</v>
      </c>
      <c r="H10" s="392" t="s">
        <v>184</v>
      </c>
      <c r="I10" s="392" t="s">
        <v>196</v>
      </c>
      <c r="J10" s="394">
        <v>30693</v>
      </c>
      <c r="K10" s="394">
        <v>0</v>
      </c>
      <c r="L10" s="394">
        <v>8064</v>
      </c>
      <c r="M10" s="394">
        <v>10298</v>
      </c>
      <c r="N10" s="394">
        <v>2747</v>
      </c>
      <c r="O10" s="395">
        <v>6958</v>
      </c>
    </row>
    <row r="11" spans="1:15" ht="92.25" customHeight="1" x14ac:dyDescent="0.25">
      <c r="A11" s="379">
        <v>2</v>
      </c>
      <c r="B11" s="396" t="s">
        <v>101</v>
      </c>
      <c r="C11" s="397" t="s">
        <v>127</v>
      </c>
      <c r="D11" s="397" t="s">
        <v>211</v>
      </c>
      <c r="E11" s="398" t="s">
        <v>38</v>
      </c>
      <c r="F11" s="397" t="s">
        <v>191</v>
      </c>
      <c r="G11" s="397" t="s">
        <v>177</v>
      </c>
      <c r="H11" s="397" t="s">
        <v>184</v>
      </c>
      <c r="I11" s="397" t="s">
        <v>183</v>
      </c>
      <c r="J11" s="399">
        <v>0.22</v>
      </c>
      <c r="K11" s="399">
        <v>0</v>
      </c>
      <c r="L11" s="399">
        <v>0.15</v>
      </c>
      <c r="M11" s="399">
        <v>0.15</v>
      </c>
      <c r="N11" s="399">
        <v>0.14000000000000001</v>
      </c>
      <c r="O11" s="400">
        <v>0.14000000000000001</v>
      </c>
    </row>
    <row r="12" spans="1:15" ht="46.5" x14ac:dyDescent="0.25">
      <c r="A12" s="379">
        <v>3</v>
      </c>
      <c r="B12" s="396" t="s">
        <v>101</v>
      </c>
      <c r="C12" s="397" t="s">
        <v>127</v>
      </c>
      <c r="D12" s="397" t="s">
        <v>211</v>
      </c>
      <c r="E12" s="398" t="s">
        <v>39</v>
      </c>
      <c r="F12" s="397" t="s">
        <v>175</v>
      </c>
      <c r="G12" s="397" t="s">
        <v>177</v>
      </c>
      <c r="H12" s="397" t="s">
        <v>188</v>
      </c>
      <c r="I12" s="397" t="s">
        <v>198</v>
      </c>
      <c r="J12" s="401">
        <v>8000</v>
      </c>
      <c r="K12" s="401">
        <v>5703</v>
      </c>
      <c r="L12" s="401">
        <v>2367</v>
      </c>
      <c r="M12" s="401">
        <v>5702</v>
      </c>
      <c r="N12" s="401">
        <v>2365</v>
      </c>
      <c r="O12" s="402">
        <v>7341</v>
      </c>
    </row>
    <row r="13" spans="1:15" ht="69.75" x14ac:dyDescent="0.25">
      <c r="A13" s="379">
        <v>4</v>
      </c>
      <c r="B13" s="396" t="s">
        <v>101</v>
      </c>
      <c r="C13" s="397" t="s">
        <v>130</v>
      </c>
      <c r="D13" s="397" t="s">
        <v>212</v>
      </c>
      <c r="E13" s="398" t="s">
        <v>35</v>
      </c>
      <c r="F13" s="397" t="s">
        <v>185</v>
      </c>
      <c r="G13" s="397" t="s">
        <v>177</v>
      </c>
      <c r="H13" s="397" t="s">
        <v>187</v>
      </c>
      <c r="I13" s="397" t="s">
        <v>197</v>
      </c>
      <c r="J13" s="401">
        <v>20</v>
      </c>
      <c r="K13" s="401">
        <v>27</v>
      </c>
      <c r="L13" s="401">
        <v>22</v>
      </c>
      <c r="M13" s="401">
        <v>22</v>
      </c>
      <c r="N13" s="403">
        <v>22.98</v>
      </c>
      <c r="O13" s="404">
        <v>22.98</v>
      </c>
    </row>
    <row r="14" spans="1:15" ht="186" x14ac:dyDescent="0.25">
      <c r="A14" s="379">
        <v>5</v>
      </c>
      <c r="B14" s="396" t="s">
        <v>101</v>
      </c>
      <c r="C14" s="397" t="s">
        <v>136</v>
      </c>
      <c r="D14" s="397" t="s">
        <v>211</v>
      </c>
      <c r="E14" s="398" t="s">
        <v>68</v>
      </c>
      <c r="F14" s="397" t="s">
        <v>191</v>
      </c>
      <c r="G14" s="397" t="s">
        <v>177</v>
      </c>
      <c r="H14" s="397" t="s">
        <v>184</v>
      </c>
      <c r="I14" s="397" t="s">
        <v>183</v>
      </c>
      <c r="J14" s="399">
        <v>1</v>
      </c>
      <c r="K14" s="399">
        <v>0</v>
      </c>
      <c r="L14" s="399">
        <v>0.7</v>
      </c>
      <c r="M14" s="399">
        <v>0.7</v>
      </c>
      <c r="N14" s="399">
        <v>0.6</v>
      </c>
      <c r="O14" s="400">
        <v>0.6</v>
      </c>
    </row>
    <row r="15" spans="1:15" ht="69" customHeight="1" x14ac:dyDescent="0.25">
      <c r="A15" s="379">
        <v>6</v>
      </c>
      <c r="B15" s="396" t="s">
        <v>101</v>
      </c>
      <c r="C15" s="397" t="s">
        <v>123</v>
      </c>
      <c r="D15" s="397" t="s">
        <v>211</v>
      </c>
      <c r="E15" s="398" t="s">
        <v>24</v>
      </c>
      <c r="F15" s="397" t="s">
        <v>175</v>
      </c>
      <c r="G15" s="397" t="s">
        <v>177</v>
      </c>
      <c r="H15" s="397" t="s">
        <v>184</v>
      </c>
      <c r="I15" s="397" t="s">
        <v>193</v>
      </c>
      <c r="J15" s="401">
        <v>582001</v>
      </c>
      <c r="K15" s="401">
        <v>432372</v>
      </c>
      <c r="L15" s="401">
        <v>498798</v>
      </c>
      <c r="M15" s="401">
        <v>498798</v>
      </c>
      <c r="N15" s="401">
        <v>404271</v>
      </c>
      <c r="O15" s="402">
        <v>404271</v>
      </c>
    </row>
    <row r="16" spans="1:15" ht="76.5" customHeight="1" x14ac:dyDescent="0.25">
      <c r="A16" s="379">
        <v>7</v>
      </c>
      <c r="B16" s="396" t="s">
        <v>101</v>
      </c>
      <c r="C16" s="397" t="s">
        <v>123</v>
      </c>
      <c r="D16" s="397" t="s">
        <v>211</v>
      </c>
      <c r="E16" s="398" t="s">
        <v>17</v>
      </c>
      <c r="F16" s="397" t="s">
        <v>175</v>
      </c>
      <c r="G16" s="397" t="s">
        <v>177</v>
      </c>
      <c r="H16" s="397" t="s">
        <v>184</v>
      </c>
      <c r="I16" s="397" t="s">
        <v>193</v>
      </c>
      <c r="J16" s="401">
        <v>366740</v>
      </c>
      <c r="K16" s="401">
        <v>362740</v>
      </c>
      <c r="L16" s="401">
        <v>365740</v>
      </c>
      <c r="M16" s="401">
        <v>365740</v>
      </c>
      <c r="N16" s="401">
        <v>327111</v>
      </c>
      <c r="O16" s="402">
        <v>327111</v>
      </c>
    </row>
    <row r="17" spans="1:15" ht="69" customHeight="1" x14ac:dyDescent="0.25">
      <c r="A17" s="379">
        <v>8</v>
      </c>
      <c r="B17" s="396" t="s">
        <v>101</v>
      </c>
      <c r="C17" s="397" t="s">
        <v>123</v>
      </c>
      <c r="D17" s="397" t="s">
        <v>211</v>
      </c>
      <c r="E17" s="398" t="s">
        <v>14</v>
      </c>
      <c r="F17" s="397" t="s">
        <v>175</v>
      </c>
      <c r="G17" s="397" t="s">
        <v>177</v>
      </c>
      <c r="H17" s="397" t="s">
        <v>184</v>
      </c>
      <c r="I17" s="397" t="s">
        <v>193</v>
      </c>
      <c r="J17" s="401">
        <v>113658</v>
      </c>
      <c r="K17" s="401">
        <v>109658</v>
      </c>
      <c r="L17" s="401">
        <v>112658</v>
      </c>
      <c r="M17" s="401">
        <v>112658</v>
      </c>
      <c r="N17" s="401">
        <v>112959</v>
      </c>
      <c r="O17" s="402">
        <v>112959</v>
      </c>
    </row>
    <row r="18" spans="1:15" ht="46.5" x14ac:dyDescent="0.25">
      <c r="A18" s="379">
        <v>9</v>
      </c>
      <c r="B18" s="396" t="s">
        <v>101</v>
      </c>
      <c r="C18" s="397" t="s">
        <v>127</v>
      </c>
      <c r="D18" s="397" t="s">
        <v>212</v>
      </c>
      <c r="E18" s="398" t="s">
        <v>42</v>
      </c>
      <c r="F18" s="397" t="s">
        <v>185</v>
      </c>
      <c r="G18" s="397" t="s">
        <v>177</v>
      </c>
      <c r="H18" s="397" t="s">
        <v>184</v>
      </c>
      <c r="I18" s="397" t="s">
        <v>201</v>
      </c>
      <c r="J18" s="399">
        <v>5.6090000000000001E-2</v>
      </c>
      <c r="K18" s="399">
        <v>5.0700000000000002E-2</v>
      </c>
      <c r="L18" s="399">
        <v>5.3999999999999999E-2</v>
      </c>
      <c r="M18" s="399">
        <v>5.3999999999999999E-2</v>
      </c>
      <c r="N18" s="399">
        <v>5.67E-2</v>
      </c>
      <c r="O18" s="400">
        <v>5.67E-2</v>
      </c>
    </row>
    <row r="19" spans="1:15" ht="69.75" x14ac:dyDescent="0.25">
      <c r="A19" s="379">
        <v>10</v>
      </c>
      <c r="B19" s="396" t="s">
        <v>101</v>
      </c>
      <c r="C19" s="397" t="s">
        <v>126</v>
      </c>
      <c r="D19" s="397" t="s">
        <v>212</v>
      </c>
      <c r="E19" s="398" t="s">
        <v>11</v>
      </c>
      <c r="F19" s="397" t="s">
        <v>191</v>
      </c>
      <c r="G19" s="397" t="s">
        <v>177</v>
      </c>
      <c r="H19" s="397" t="s">
        <v>190</v>
      </c>
      <c r="I19" s="397" t="s">
        <v>192</v>
      </c>
      <c r="J19" s="401">
        <v>776300</v>
      </c>
      <c r="K19" s="401">
        <v>419082</v>
      </c>
      <c r="L19" s="401">
        <v>35000</v>
      </c>
      <c r="M19" s="401">
        <v>746300</v>
      </c>
      <c r="N19" s="401">
        <v>52634</v>
      </c>
      <c r="O19" s="402">
        <v>628452</v>
      </c>
    </row>
    <row r="20" spans="1:15" ht="69.75" x14ac:dyDescent="0.25">
      <c r="A20" s="379">
        <v>11</v>
      </c>
      <c r="B20" s="396" t="s">
        <v>101</v>
      </c>
      <c r="C20" s="397" t="s">
        <v>127</v>
      </c>
      <c r="D20" s="397" t="s">
        <v>212</v>
      </c>
      <c r="E20" s="398" t="s">
        <v>43</v>
      </c>
      <c r="F20" s="397" t="s">
        <v>185</v>
      </c>
      <c r="G20" s="397" t="s">
        <v>177</v>
      </c>
      <c r="H20" s="397" t="s">
        <v>184</v>
      </c>
      <c r="I20" s="397" t="s">
        <v>202</v>
      </c>
      <c r="J20" s="401">
        <v>2720</v>
      </c>
      <c r="K20" s="401">
        <v>2012</v>
      </c>
      <c r="L20" s="401">
        <v>2545</v>
      </c>
      <c r="M20" s="401">
        <v>2545</v>
      </c>
      <c r="N20" s="401">
        <v>2808</v>
      </c>
      <c r="O20" s="402">
        <v>2808</v>
      </c>
    </row>
    <row r="21" spans="1:15" ht="69.75" x14ac:dyDescent="0.25">
      <c r="A21" s="379">
        <v>12</v>
      </c>
      <c r="B21" s="396" t="s">
        <v>101</v>
      </c>
      <c r="C21" s="397" t="s">
        <v>129</v>
      </c>
      <c r="D21" s="397" t="s">
        <v>212</v>
      </c>
      <c r="E21" s="398" t="s">
        <v>44</v>
      </c>
      <c r="F21" s="397" t="s">
        <v>175</v>
      </c>
      <c r="G21" s="397" t="s">
        <v>178</v>
      </c>
      <c r="H21" s="397" t="s">
        <v>184</v>
      </c>
      <c r="I21" s="397" t="s">
        <v>193</v>
      </c>
      <c r="J21" s="401">
        <v>1500000</v>
      </c>
      <c r="K21" s="401">
        <v>0</v>
      </c>
      <c r="L21" s="401">
        <v>1000000</v>
      </c>
      <c r="M21" s="401">
        <v>1000000</v>
      </c>
      <c r="N21" s="401">
        <v>730411</v>
      </c>
      <c r="O21" s="402">
        <v>730411</v>
      </c>
    </row>
    <row r="22" spans="1:15" ht="139.5" x14ac:dyDescent="0.25">
      <c r="A22" s="379">
        <v>13</v>
      </c>
      <c r="B22" s="396" t="s">
        <v>101</v>
      </c>
      <c r="C22" s="397" t="s">
        <v>126</v>
      </c>
      <c r="D22" s="397" t="s">
        <v>211</v>
      </c>
      <c r="E22" s="398" t="s">
        <v>78</v>
      </c>
      <c r="F22" s="397" t="s">
        <v>175</v>
      </c>
      <c r="G22" s="397" t="s">
        <v>177</v>
      </c>
      <c r="H22" s="397" t="s">
        <v>188</v>
      </c>
      <c r="I22" s="397" t="s">
        <v>183</v>
      </c>
      <c r="J22" s="399">
        <v>1</v>
      </c>
      <c r="K22" s="399" t="s">
        <v>260</v>
      </c>
      <c r="L22" s="399">
        <v>0.5</v>
      </c>
      <c r="M22" s="399">
        <v>0.5</v>
      </c>
      <c r="N22" s="399">
        <v>0.9</v>
      </c>
      <c r="O22" s="400">
        <v>0.9</v>
      </c>
    </row>
    <row r="23" spans="1:15" ht="69.75" x14ac:dyDescent="0.25">
      <c r="A23" s="379">
        <v>14</v>
      </c>
      <c r="B23" s="396" t="s">
        <v>101</v>
      </c>
      <c r="C23" s="397" t="s">
        <v>127</v>
      </c>
      <c r="D23" s="397" t="s">
        <v>212</v>
      </c>
      <c r="E23" s="398" t="s">
        <v>29</v>
      </c>
      <c r="F23" s="397" t="s">
        <v>185</v>
      </c>
      <c r="G23" s="397" t="s">
        <v>180</v>
      </c>
      <c r="H23" s="397" t="s">
        <v>184</v>
      </c>
      <c r="I23" s="397" t="s">
        <v>183</v>
      </c>
      <c r="J23" s="399">
        <v>0.45</v>
      </c>
      <c r="K23" s="399">
        <v>0.33300000000000002</v>
      </c>
      <c r="L23" s="399">
        <v>0.42099999999999999</v>
      </c>
      <c r="M23" s="399">
        <v>0.42099999999999999</v>
      </c>
      <c r="N23" s="399">
        <v>0.45400000000000001</v>
      </c>
      <c r="O23" s="400">
        <v>0.45400000000000001</v>
      </c>
    </row>
    <row r="24" spans="1:15" ht="69.75" x14ac:dyDescent="0.25">
      <c r="A24" s="379">
        <v>15</v>
      </c>
      <c r="B24" s="396" t="s">
        <v>101</v>
      </c>
      <c r="C24" s="397" t="s">
        <v>127</v>
      </c>
      <c r="D24" s="397" t="s">
        <v>212</v>
      </c>
      <c r="E24" s="398" t="s">
        <v>157</v>
      </c>
      <c r="F24" s="397" t="s">
        <v>175</v>
      </c>
      <c r="G24" s="397" t="s">
        <v>177</v>
      </c>
      <c r="H24" s="397" t="s">
        <v>184</v>
      </c>
      <c r="I24" s="397" t="s">
        <v>183</v>
      </c>
      <c r="J24" s="399" t="s">
        <v>266</v>
      </c>
      <c r="K24" s="399">
        <v>0.29399999999999998</v>
      </c>
      <c r="L24" s="399" t="s">
        <v>267</v>
      </c>
      <c r="M24" s="399" t="s">
        <v>293</v>
      </c>
      <c r="N24" s="399" t="s">
        <v>279</v>
      </c>
      <c r="O24" s="400" t="s">
        <v>279</v>
      </c>
    </row>
    <row r="25" spans="1:15" ht="69.75" x14ac:dyDescent="0.25">
      <c r="A25" s="379">
        <v>16</v>
      </c>
      <c r="B25" s="396" t="s">
        <v>101</v>
      </c>
      <c r="C25" s="397" t="s">
        <v>129</v>
      </c>
      <c r="D25" s="397" t="s">
        <v>212</v>
      </c>
      <c r="E25" s="398" t="s">
        <v>32</v>
      </c>
      <c r="F25" s="397" t="s">
        <v>175</v>
      </c>
      <c r="G25" s="397" t="s">
        <v>178</v>
      </c>
      <c r="H25" s="397" t="s">
        <v>184</v>
      </c>
      <c r="I25" s="397" t="s">
        <v>183</v>
      </c>
      <c r="J25" s="399">
        <v>0.2</v>
      </c>
      <c r="K25" s="399">
        <v>0</v>
      </c>
      <c r="L25" s="399">
        <v>0.13</v>
      </c>
      <c r="M25" s="399">
        <v>0.13</v>
      </c>
      <c r="N25" s="399">
        <v>0.10009999999999999</v>
      </c>
      <c r="O25" s="400">
        <v>0.10009999999999999</v>
      </c>
    </row>
    <row r="26" spans="1:15" ht="116.25" x14ac:dyDescent="0.25">
      <c r="A26" s="379">
        <v>17</v>
      </c>
      <c r="B26" s="396" t="s">
        <v>101</v>
      </c>
      <c r="C26" s="397" t="s">
        <v>128</v>
      </c>
      <c r="D26" s="397" t="s">
        <v>211</v>
      </c>
      <c r="E26" s="398" t="s">
        <v>31</v>
      </c>
      <c r="F26" s="397" t="s">
        <v>185</v>
      </c>
      <c r="G26" s="397" t="s">
        <v>177</v>
      </c>
      <c r="H26" s="397" t="s">
        <v>184</v>
      </c>
      <c r="I26" s="397" t="s">
        <v>183</v>
      </c>
      <c r="J26" s="399">
        <v>0.08</v>
      </c>
      <c r="K26" s="399">
        <v>2.2599999999999999E-2</v>
      </c>
      <c r="L26" s="399">
        <v>0.06</v>
      </c>
      <c r="M26" s="399">
        <v>0.06</v>
      </c>
      <c r="N26" s="399">
        <v>4.7500000000000001E-2</v>
      </c>
      <c r="O26" s="400">
        <v>4.7500000000000001E-2</v>
      </c>
    </row>
    <row r="27" spans="1:15" ht="116.25" x14ac:dyDescent="0.25">
      <c r="A27" s="379">
        <v>18</v>
      </c>
      <c r="B27" s="396" t="s">
        <v>101</v>
      </c>
      <c r="C27" s="397" t="s">
        <v>130</v>
      </c>
      <c r="D27" s="397" t="s">
        <v>211</v>
      </c>
      <c r="E27" s="398" t="s">
        <v>33</v>
      </c>
      <c r="F27" s="397" t="s">
        <v>185</v>
      </c>
      <c r="G27" s="397" t="s">
        <v>177</v>
      </c>
      <c r="H27" s="397" t="s">
        <v>184</v>
      </c>
      <c r="I27" s="397" t="s">
        <v>183</v>
      </c>
      <c r="J27" s="399">
        <v>0.309</v>
      </c>
      <c r="K27" s="399">
        <v>0.27700000000000002</v>
      </c>
      <c r="L27" s="399">
        <v>0.30099999999999999</v>
      </c>
      <c r="M27" s="399">
        <v>0.30099999999999999</v>
      </c>
      <c r="N27" s="399">
        <v>0.32129999999999997</v>
      </c>
      <c r="O27" s="400">
        <v>0.32129999999999997</v>
      </c>
    </row>
    <row r="28" spans="1:15" ht="116.25" x14ac:dyDescent="0.25">
      <c r="A28" s="379">
        <v>19</v>
      </c>
      <c r="B28" s="396" t="s">
        <v>101</v>
      </c>
      <c r="C28" s="397" t="s">
        <v>130</v>
      </c>
      <c r="D28" s="397" t="s">
        <v>211</v>
      </c>
      <c r="E28" s="398" t="s">
        <v>34</v>
      </c>
      <c r="F28" s="397" t="s">
        <v>191</v>
      </c>
      <c r="G28" s="397" t="s">
        <v>177</v>
      </c>
      <c r="H28" s="397" t="s">
        <v>184</v>
      </c>
      <c r="I28" s="397" t="s">
        <v>183</v>
      </c>
      <c r="J28" s="399">
        <v>0.29899999999999999</v>
      </c>
      <c r="K28" s="399">
        <v>0.217</v>
      </c>
      <c r="L28" s="399">
        <v>0.27900000000000003</v>
      </c>
      <c r="M28" s="399">
        <v>0.27900000000000003</v>
      </c>
      <c r="N28" s="399">
        <v>0.2084</v>
      </c>
      <c r="O28" s="400">
        <v>0.2084</v>
      </c>
    </row>
    <row r="29" spans="1:15" ht="139.5" x14ac:dyDescent="0.25">
      <c r="A29" s="379">
        <v>20</v>
      </c>
      <c r="B29" s="396" t="s">
        <v>101</v>
      </c>
      <c r="C29" s="397" t="s">
        <v>138</v>
      </c>
      <c r="D29" s="397" t="s">
        <v>211</v>
      </c>
      <c r="E29" s="398" t="s">
        <v>76</v>
      </c>
      <c r="F29" s="397" t="s">
        <v>175</v>
      </c>
      <c r="G29" s="397" t="s">
        <v>178</v>
      </c>
      <c r="H29" s="397" t="s">
        <v>184</v>
      </c>
      <c r="I29" s="397" t="s">
        <v>183</v>
      </c>
      <c r="J29" s="399">
        <v>0.5</v>
      </c>
      <c r="K29" s="399" t="s">
        <v>260</v>
      </c>
      <c r="L29" s="399">
        <v>0.3</v>
      </c>
      <c r="M29" s="399">
        <v>0.3</v>
      </c>
      <c r="N29" s="399">
        <v>0.18</v>
      </c>
      <c r="O29" s="400">
        <v>0.18</v>
      </c>
    </row>
    <row r="30" spans="1:15" ht="116.25" x14ac:dyDescent="0.25">
      <c r="A30" s="379">
        <v>21</v>
      </c>
      <c r="B30" s="396" t="s">
        <v>101</v>
      </c>
      <c r="C30" s="397" t="s">
        <v>137</v>
      </c>
      <c r="D30" s="397" t="s">
        <v>211</v>
      </c>
      <c r="E30" s="398" t="s">
        <v>73</v>
      </c>
      <c r="F30" s="397" t="s">
        <v>179</v>
      </c>
      <c r="G30" s="397" t="s">
        <v>178</v>
      </c>
      <c r="H30" s="397" t="s">
        <v>182</v>
      </c>
      <c r="I30" s="397" t="s">
        <v>183</v>
      </c>
      <c r="J30" s="399">
        <v>1</v>
      </c>
      <c r="K30" s="399" t="s">
        <v>260</v>
      </c>
      <c r="L30" s="399">
        <v>1</v>
      </c>
      <c r="M30" s="399">
        <v>1</v>
      </c>
      <c r="N30" s="399">
        <v>0.04</v>
      </c>
      <c r="O30" s="400">
        <v>0.04</v>
      </c>
    </row>
    <row r="31" spans="1:15" ht="116.25" x14ac:dyDescent="0.25">
      <c r="A31" s="379">
        <v>22</v>
      </c>
      <c r="B31" s="396" t="s">
        <v>101</v>
      </c>
      <c r="C31" s="397" t="s">
        <v>137</v>
      </c>
      <c r="D31" s="397" t="s">
        <v>211</v>
      </c>
      <c r="E31" s="398" t="s">
        <v>72</v>
      </c>
      <c r="F31" s="397" t="s">
        <v>179</v>
      </c>
      <c r="G31" s="397" t="s">
        <v>178</v>
      </c>
      <c r="H31" s="397" t="s">
        <v>182</v>
      </c>
      <c r="I31" s="397" t="s">
        <v>183</v>
      </c>
      <c r="J31" s="399">
        <v>0.85</v>
      </c>
      <c r="K31" s="399" t="s">
        <v>260</v>
      </c>
      <c r="L31" s="399">
        <v>0.8</v>
      </c>
      <c r="M31" s="399">
        <v>0.8</v>
      </c>
      <c r="N31" s="399">
        <v>0.73399999999999999</v>
      </c>
      <c r="O31" s="400">
        <v>0.73399999999999999</v>
      </c>
    </row>
    <row r="32" spans="1:15" ht="93" x14ac:dyDescent="0.25">
      <c r="A32" s="379">
        <v>23</v>
      </c>
      <c r="B32" s="396" t="s">
        <v>101</v>
      </c>
      <c r="C32" s="397" t="s">
        <v>127</v>
      </c>
      <c r="D32" s="397" t="s">
        <v>211</v>
      </c>
      <c r="E32" s="398" t="s">
        <v>36</v>
      </c>
      <c r="F32" s="397" t="s">
        <v>185</v>
      </c>
      <c r="G32" s="397" t="s">
        <v>177</v>
      </c>
      <c r="H32" s="397" t="s">
        <v>184</v>
      </c>
      <c r="I32" s="397" t="s">
        <v>183</v>
      </c>
      <c r="J32" s="399">
        <v>0.75</v>
      </c>
      <c r="K32" s="399">
        <v>0.53100000000000003</v>
      </c>
      <c r="L32" s="399">
        <v>0.69599999999999995</v>
      </c>
      <c r="M32" s="399">
        <v>0.69599999999999995</v>
      </c>
      <c r="N32" s="399">
        <v>0.57699999999999996</v>
      </c>
      <c r="O32" s="400">
        <v>0.57699999999999996</v>
      </c>
    </row>
    <row r="33" spans="1:15" ht="162.75" x14ac:dyDescent="0.25">
      <c r="A33" s="379">
        <v>24</v>
      </c>
      <c r="B33" s="396" t="s">
        <v>101</v>
      </c>
      <c r="C33" s="397" t="s">
        <v>136</v>
      </c>
      <c r="D33" s="397" t="s">
        <v>211</v>
      </c>
      <c r="E33" s="398" t="s">
        <v>69</v>
      </c>
      <c r="F33" s="397" t="s">
        <v>191</v>
      </c>
      <c r="G33" s="397" t="s">
        <v>177</v>
      </c>
      <c r="H33" s="397" t="s">
        <v>184</v>
      </c>
      <c r="I33" s="397" t="s">
        <v>183</v>
      </c>
      <c r="J33" s="399">
        <v>1</v>
      </c>
      <c r="K33" s="399">
        <v>0</v>
      </c>
      <c r="L33" s="399">
        <v>0.5</v>
      </c>
      <c r="M33" s="399">
        <v>0.5</v>
      </c>
      <c r="N33" s="399">
        <v>0.2</v>
      </c>
      <c r="O33" s="400">
        <v>0.2</v>
      </c>
    </row>
    <row r="34" spans="1:15" ht="69.75" x14ac:dyDescent="0.25">
      <c r="A34" s="379">
        <v>25</v>
      </c>
      <c r="B34" s="396" t="s">
        <v>101</v>
      </c>
      <c r="C34" s="397" t="s">
        <v>123</v>
      </c>
      <c r="D34" s="397" t="s">
        <v>211</v>
      </c>
      <c r="E34" s="398" t="s">
        <v>4</v>
      </c>
      <c r="F34" s="397" t="s">
        <v>185</v>
      </c>
      <c r="G34" s="397" t="s">
        <v>177</v>
      </c>
      <c r="H34" s="397" t="s">
        <v>184</v>
      </c>
      <c r="I34" s="397" t="s">
        <v>183</v>
      </c>
      <c r="J34" s="399">
        <v>0.93</v>
      </c>
      <c r="K34" s="399">
        <v>0.871</v>
      </c>
      <c r="L34" s="399">
        <v>0.91681999999999997</v>
      </c>
      <c r="M34" s="399">
        <v>0.91681999999999997</v>
      </c>
      <c r="N34" s="399">
        <v>0.86040000000000005</v>
      </c>
      <c r="O34" s="400">
        <v>0.86040000000000005</v>
      </c>
    </row>
    <row r="35" spans="1:15" ht="116.25" x14ac:dyDescent="0.25">
      <c r="A35" s="379">
        <v>26</v>
      </c>
      <c r="B35" s="396" t="s">
        <v>101</v>
      </c>
      <c r="C35" s="397" t="s">
        <v>138</v>
      </c>
      <c r="D35" s="397" t="s">
        <v>211</v>
      </c>
      <c r="E35" s="398" t="s">
        <v>295</v>
      </c>
      <c r="F35" s="397" t="s">
        <v>175</v>
      </c>
      <c r="G35" s="397" t="s">
        <v>178</v>
      </c>
      <c r="H35" s="397" t="s">
        <v>184</v>
      </c>
      <c r="I35" s="397" t="s">
        <v>209</v>
      </c>
      <c r="J35" s="401">
        <v>95</v>
      </c>
      <c r="K35" s="401">
        <v>94</v>
      </c>
      <c r="L35" s="401">
        <v>95</v>
      </c>
      <c r="M35" s="401">
        <v>95</v>
      </c>
      <c r="N35" s="401">
        <v>73</v>
      </c>
      <c r="O35" s="402">
        <v>73</v>
      </c>
    </row>
    <row r="36" spans="1:15" ht="69.75" x14ac:dyDescent="0.25">
      <c r="A36" s="379">
        <v>27</v>
      </c>
      <c r="B36" s="396" t="s">
        <v>101</v>
      </c>
      <c r="C36" s="397" t="s">
        <v>123</v>
      </c>
      <c r="D36" s="397" t="s">
        <v>211</v>
      </c>
      <c r="E36" s="398" t="s">
        <v>25</v>
      </c>
      <c r="F36" s="397" t="s">
        <v>191</v>
      </c>
      <c r="G36" s="397" t="s">
        <v>177</v>
      </c>
      <c r="H36" s="397" t="s">
        <v>190</v>
      </c>
      <c r="I36" s="397" t="s">
        <v>194</v>
      </c>
      <c r="J36" s="401">
        <v>3869</v>
      </c>
      <c r="K36" s="401">
        <v>5258</v>
      </c>
      <c r="L36" s="401">
        <v>3844</v>
      </c>
      <c r="M36" s="401">
        <v>3844</v>
      </c>
      <c r="N36" s="401">
        <v>4525</v>
      </c>
      <c r="O36" s="402">
        <v>4525</v>
      </c>
    </row>
    <row r="37" spans="1:15" ht="69.75" x14ac:dyDescent="0.25">
      <c r="A37" s="379">
        <v>28</v>
      </c>
      <c r="B37" s="396" t="s">
        <v>101</v>
      </c>
      <c r="C37" s="397" t="s">
        <v>123</v>
      </c>
      <c r="D37" s="397" t="s">
        <v>211</v>
      </c>
      <c r="E37" s="398" t="s">
        <v>22</v>
      </c>
      <c r="F37" s="397" t="s">
        <v>175</v>
      </c>
      <c r="G37" s="397" t="s">
        <v>177</v>
      </c>
      <c r="H37" s="397" t="s">
        <v>184</v>
      </c>
      <c r="I37" s="397" t="s">
        <v>194</v>
      </c>
      <c r="J37" s="401">
        <v>812</v>
      </c>
      <c r="K37" s="401">
        <v>784</v>
      </c>
      <c r="L37" s="401">
        <v>807</v>
      </c>
      <c r="M37" s="401">
        <v>807</v>
      </c>
      <c r="N37" s="401">
        <v>800</v>
      </c>
      <c r="O37" s="402">
        <v>800</v>
      </c>
    </row>
    <row r="38" spans="1:15" ht="69.75" x14ac:dyDescent="0.25">
      <c r="A38" s="379">
        <v>29</v>
      </c>
      <c r="B38" s="396" t="s">
        <v>101</v>
      </c>
      <c r="C38" s="397" t="s">
        <v>123</v>
      </c>
      <c r="D38" s="397" t="s">
        <v>211</v>
      </c>
      <c r="E38" s="398" t="s">
        <v>15</v>
      </c>
      <c r="F38" s="397" t="s">
        <v>175</v>
      </c>
      <c r="G38" s="397" t="s">
        <v>177</v>
      </c>
      <c r="H38" s="397" t="s">
        <v>184</v>
      </c>
      <c r="I38" s="397" t="s">
        <v>194</v>
      </c>
      <c r="J38" s="401">
        <v>311</v>
      </c>
      <c r="K38" s="401">
        <v>251</v>
      </c>
      <c r="L38" s="401">
        <v>299</v>
      </c>
      <c r="M38" s="401">
        <v>299</v>
      </c>
      <c r="N38" s="401">
        <v>242</v>
      </c>
      <c r="O38" s="402">
        <v>242</v>
      </c>
    </row>
    <row r="39" spans="1:15" ht="69.75" x14ac:dyDescent="0.25">
      <c r="A39" s="379">
        <v>30</v>
      </c>
      <c r="B39" s="396" t="s">
        <v>101</v>
      </c>
      <c r="C39" s="397" t="s">
        <v>123</v>
      </c>
      <c r="D39" s="397" t="s">
        <v>211</v>
      </c>
      <c r="E39" s="398" t="s">
        <v>18</v>
      </c>
      <c r="F39" s="397" t="s">
        <v>175</v>
      </c>
      <c r="G39" s="397" t="s">
        <v>177</v>
      </c>
      <c r="H39" s="397" t="s">
        <v>184</v>
      </c>
      <c r="I39" s="397" t="s">
        <v>194</v>
      </c>
      <c r="J39" s="401">
        <v>5915</v>
      </c>
      <c r="K39" s="401">
        <v>5515</v>
      </c>
      <c r="L39" s="401">
        <v>5815</v>
      </c>
      <c r="M39" s="401">
        <v>5815</v>
      </c>
      <c r="N39" s="401">
        <v>5654</v>
      </c>
      <c r="O39" s="402">
        <v>5654</v>
      </c>
    </row>
    <row r="40" spans="1:15" ht="69.75" x14ac:dyDescent="0.25">
      <c r="A40" s="379">
        <v>31</v>
      </c>
      <c r="B40" s="396" t="s">
        <v>101</v>
      </c>
      <c r="C40" s="397" t="s">
        <v>124</v>
      </c>
      <c r="D40" s="397" t="s">
        <v>211</v>
      </c>
      <c r="E40" s="398" t="s">
        <v>7</v>
      </c>
      <c r="F40" s="397" t="s">
        <v>175</v>
      </c>
      <c r="G40" s="397" t="s">
        <v>177</v>
      </c>
      <c r="H40" s="397" t="s">
        <v>188</v>
      </c>
      <c r="I40" s="397" t="s">
        <v>189</v>
      </c>
      <c r="J40" s="401">
        <v>1000</v>
      </c>
      <c r="K40" s="401">
        <v>168</v>
      </c>
      <c r="L40" s="401">
        <v>350</v>
      </c>
      <c r="M40" s="401">
        <v>350</v>
      </c>
      <c r="N40" s="401">
        <v>62</v>
      </c>
      <c r="O40" s="402">
        <v>62</v>
      </c>
    </row>
    <row r="41" spans="1:15" ht="69.75" x14ac:dyDescent="0.25">
      <c r="A41" s="379">
        <v>32</v>
      </c>
      <c r="B41" s="396" t="s">
        <v>101</v>
      </c>
      <c r="C41" s="397" t="s">
        <v>124</v>
      </c>
      <c r="D41" s="397" t="s">
        <v>211</v>
      </c>
      <c r="E41" s="398" t="s">
        <v>20</v>
      </c>
      <c r="F41" s="397" t="s">
        <v>175</v>
      </c>
      <c r="G41" s="397" t="s">
        <v>177</v>
      </c>
      <c r="H41" s="397" t="s">
        <v>184</v>
      </c>
      <c r="I41" s="397" t="s">
        <v>194</v>
      </c>
      <c r="J41" s="401">
        <v>100</v>
      </c>
      <c r="K41" s="401">
        <v>0</v>
      </c>
      <c r="L41" s="401">
        <v>20</v>
      </c>
      <c r="M41" s="401">
        <v>80</v>
      </c>
      <c r="N41" s="401">
        <v>21</v>
      </c>
      <c r="O41" s="402">
        <v>144</v>
      </c>
    </row>
    <row r="42" spans="1:15" ht="69.75" x14ac:dyDescent="0.25">
      <c r="A42" s="379">
        <v>33</v>
      </c>
      <c r="B42" s="396" t="s">
        <v>101</v>
      </c>
      <c r="C42" s="397" t="s">
        <v>137</v>
      </c>
      <c r="D42" s="397" t="s">
        <v>211</v>
      </c>
      <c r="E42" s="398" t="s">
        <v>71</v>
      </c>
      <c r="F42" s="397" t="s">
        <v>175</v>
      </c>
      <c r="G42" s="397" t="s">
        <v>177</v>
      </c>
      <c r="H42" s="397" t="s">
        <v>188</v>
      </c>
      <c r="I42" s="397" t="s">
        <v>195</v>
      </c>
      <c r="J42" s="401">
        <v>46000</v>
      </c>
      <c r="K42" s="401">
        <v>43429</v>
      </c>
      <c r="L42" s="401">
        <v>15000</v>
      </c>
      <c r="M42" s="401">
        <v>31000</v>
      </c>
      <c r="N42" s="401">
        <v>1210</v>
      </c>
      <c r="O42" s="402">
        <v>4635</v>
      </c>
    </row>
    <row r="43" spans="1:15" ht="69.75" x14ac:dyDescent="0.25">
      <c r="A43" s="379">
        <v>34</v>
      </c>
      <c r="B43" s="396" t="s">
        <v>101</v>
      </c>
      <c r="C43" s="397" t="s">
        <v>126</v>
      </c>
      <c r="D43" s="397" t="s">
        <v>212</v>
      </c>
      <c r="E43" s="398" t="s">
        <v>10</v>
      </c>
      <c r="F43" s="397" t="s">
        <v>185</v>
      </c>
      <c r="G43" s="397" t="s">
        <v>177</v>
      </c>
      <c r="H43" s="397" t="s">
        <v>187</v>
      </c>
      <c r="I43" s="397" t="s">
        <v>186</v>
      </c>
      <c r="J43" s="399">
        <v>5.1700000000000003E-2</v>
      </c>
      <c r="K43" s="399">
        <v>5.8099999999999999E-2</v>
      </c>
      <c r="L43" s="399">
        <v>5.2499999999999998E-2</v>
      </c>
      <c r="M43" s="399">
        <v>5.2499999999999998E-2</v>
      </c>
      <c r="N43" s="399">
        <v>5.2400000000000002E-2</v>
      </c>
      <c r="O43" s="400">
        <v>5.2400000000000002E-2</v>
      </c>
    </row>
    <row r="44" spans="1:15" ht="69.75" x14ac:dyDescent="0.25">
      <c r="A44" s="379">
        <v>35</v>
      </c>
      <c r="B44" s="396" t="s">
        <v>101</v>
      </c>
      <c r="C44" s="397" t="s">
        <v>123</v>
      </c>
      <c r="D44" s="397" t="s">
        <v>211</v>
      </c>
      <c r="E44" s="398" t="s">
        <v>13</v>
      </c>
      <c r="F44" s="397" t="s">
        <v>185</v>
      </c>
      <c r="G44" s="397" t="s">
        <v>177</v>
      </c>
      <c r="H44" s="397" t="s">
        <v>184</v>
      </c>
      <c r="I44" s="397" t="s">
        <v>186</v>
      </c>
      <c r="J44" s="399">
        <v>0.71130000000000004</v>
      </c>
      <c r="K44" s="399">
        <v>0.60740000000000005</v>
      </c>
      <c r="L44" s="399">
        <v>0.70930000000000004</v>
      </c>
      <c r="M44" s="399">
        <v>0.70930000000000004</v>
      </c>
      <c r="N44" s="399">
        <v>0.75449999999999995</v>
      </c>
      <c r="O44" s="400">
        <v>0.75449999999999995</v>
      </c>
    </row>
    <row r="45" spans="1:15" ht="69.75" x14ac:dyDescent="0.25">
      <c r="A45" s="379">
        <v>36</v>
      </c>
      <c r="B45" s="396" t="s">
        <v>101</v>
      </c>
      <c r="C45" s="397" t="s">
        <v>123</v>
      </c>
      <c r="D45" s="397" t="s">
        <v>211</v>
      </c>
      <c r="E45" s="398" t="s">
        <v>2</v>
      </c>
      <c r="F45" s="397" t="s">
        <v>185</v>
      </c>
      <c r="G45" s="397" t="s">
        <v>177</v>
      </c>
      <c r="H45" s="397" t="s">
        <v>184</v>
      </c>
      <c r="I45" s="397" t="s">
        <v>186</v>
      </c>
      <c r="J45" s="399">
        <v>0.83</v>
      </c>
      <c r="K45" s="399">
        <v>0.77300000000000002</v>
      </c>
      <c r="L45" s="399">
        <v>0.81899999999999995</v>
      </c>
      <c r="M45" s="399">
        <v>0.81899999999999995</v>
      </c>
      <c r="N45" s="399">
        <v>0.80110000000000003</v>
      </c>
      <c r="O45" s="400">
        <v>0.80110000000000003</v>
      </c>
    </row>
    <row r="46" spans="1:15" ht="69.75" x14ac:dyDescent="0.25">
      <c r="A46" s="379">
        <v>37</v>
      </c>
      <c r="B46" s="396" t="s">
        <v>101</v>
      </c>
      <c r="C46" s="397" t="s">
        <v>123</v>
      </c>
      <c r="D46" s="397" t="s">
        <v>211</v>
      </c>
      <c r="E46" s="398" t="s">
        <v>16</v>
      </c>
      <c r="F46" s="397" t="s">
        <v>185</v>
      </c>
      <c r="G46" s="397" t="s">
        <v>177</v>
      </c>
      <c r="H46" s="397" t="s">
        <v>190</v>
      </c>
      <c r="I46" s="397" t="s">
        <v>186</v>
      </c>
      <c r="J46" s="399">
        <v>0.78320000000000001</v>
      </c>
      <c r="K46" s="399">
        <v>0.73309999999999997</v>
      </c>
      <c r="L46" s="399">
        <v>0.7681</v>
      </c>
      <c r="M46" s="399">
        <v>0.7681</v>
      </c>
      <c r="N46" s="399">
        <v>0.73160000000000003</v>
      </c>
      <c r="O46" s="400">
        <v>0.73160000000000003</v>
      </c>
    </row>
    <row r="47" spans="1:15" ht="69.75" x14ac:dyDescent="0.25">
      <c r="A47" s="379">
        <v>38</v>
      </c>
      <c r="B47" s="396" t="s">
        <v>101</v>
      </c>
      <c r="C47" s="397" t="s">
        <v>123</v>
      </c>
      <c r="D47" s="397" t="s">
        <v>211</v>
      </c>
      <c r="E47" s="398" t="s">
        <v>23</v>
      </c>
      <c r="F47" s="397" t="s">
        <v>185</v>
      </c>
      <c r="G47" s="397" t="s">
        <v>177</v>
      </c>
      <c r="H47" s="397" t="s">
        <v>184</v>
      </c>
      <c r="I47" s="397" t="s">
        <v>186</v>
      </c>
      <c r="J47" s="399">
        <v>0.77090000000000003</v>
      </c>
      <c r="K47" s="399">
        <v>0.72860000000000003</v>
      </c>
      <c r="L47" s="399">
        <v>0.76139999999999997</v>
      </c>
      <c r="M47" s="399">
        <v>0.76139999999999997</v>
      </c>
      <c r="N47" s="399">
        <v>0.7772</v>
      </c>
      <c r="O47" s="400">
        <v>0.7772</v>
      </c>
    </row>
    <row r="48" spans="1:15" ht="69.75" x14ac:dyDescent="0.25">
      <c r="A48" s="379">
        <v>39</v>
      </c>
      <c r="B48" s="396" t="s">
        <v>101</v>
      </c>
      <c r="C48" s="397" t="s">
        <v>123</v>
      </c>
      <c r="D48" s="397" t="s">
        <v>211</v>
      </c>
      <c r="E48" s="398" t="s">
        <v>12</v>
      </c>
      <c r="F48" s="397" t="s">
        <v>175</v>
      </c>
      <c r="G48" s="397" t="s">
        <v>177</v>
      </c>
      <c r="H48" s="397" t="s">
        <v>184</v>
      </c>
      <c r="I48" s="397" t="s">
        <v>186</v>
      </c>
      <c r="J48" s="399">
        <v>0.75670000000000004</v>
      </c>
      <c r="K48" s="399">
        <v>0.7147</v>
      </c>
      <c r="L48" s="399">
        <v>0.74329999999999996</v>
      </c>
      <c r="M48" s="399">
        <v>0.74329999999999996</v>
      </c>
      <c r="N48" s="399">
        <v>0.76570000000000005</v>
      </c>
      <c r="O48" s="400">
        <v>0.76570000000000005</v>
      </c>
    </row>
    <row r="49" spans="1:15" ht="69.75" x14ac:dyDescent="0.25">
      <c r="A49" s="379">
        <v>40</v>
      </c>
      <c r="B49" s="396" t="s">
        <v>101</v>
      </c>
      <c r="C49" s="397" t="s">
        <v>123</v>
      </c>
      <c r="D49" s="397" t="s">
        <v>211</v>
      </c>
      <c r="E49" s="398" t="s">
        <v>19</v>
      </c>
      <c r="F49" s="397" t="s">
        <v>185</v>
      </c>
      <c r="G49" s="397" t="s">
        <v>177</v>
      </c>
      <c r="H49" s="397" t="s">
        <v>184</v>
      </c>
      <c r="I49" s="397" t="s">
        <v>186</v>
      </c>
      <c r="J49" s="399">
        <v>0.91039999999999999</v>
      </c>
      <c r="K49" s="399">
        <v>0.83819999999999995</v>
      </c>
      <c r="L49" s="399">
        <v>0.86599999999999999</v>
      </c>
      <c r="M49" s="399">
        <v>0.86599999999999999</v>
      </c>
      <c r="N49" s="399">
        <v>0.82850000000000001</v>
      </c>
      <c r="O49" s="400">
        <v>0.82850000000000001</v>
      </c>
    </row>
    <row r="50" spans="1:15" ht="69.75" x14ac:dyDescent="0.25">
      <c r="A50" s="379">
        <v>41</v>
      </c>
      <c r="B50" s="396" t="s">
        <v>101</v>
      </c>
      <c r="C50" s="397" t="s">
        <v>123</v>
      </c>
      <c r="D50" s="397" t="s">
        <v>211</v>
      </c>
      <c r="E50" s="398" t="s">
        <v>28</v>
      </c>
      <c r="F50" s="397" t="s">
        <v>175</v>
      </c>
      <c r="G50" s="397" t="s">
        <v>177</v>
      </c>
      <c r="H50" s="397" t="s">
        <v>190</v>
      </c>
      <c r="I50" s="397" t="s">
        <v>186</v>
      </c>
      <c r="J50" s="399">
        <v>0.7107</v>
      </c>
      <c r="K50" s="399">
        <v>0.61980000000000002</v>
      </c>
      <c r="L50" s="399">
        <v>0.57720000000000005</v>
      </c>
      <c r="M50" s="399">
        <v>0.57720000000000005</v>
      </c>
      <c r="N50" s="399">
        <v>0.55569999999999997</v>
      </c>
      <c r="O50" s="400">
        <v>0.55569999999999997</v>
      </c>
    </row>
    <row r="51" spans="1:15" ht="69.75" x14ac:dyDescent="0.25">
      <c r="A51" s="379">
        <v>42</v>
      </c>
      <c r="B51" s="396" t="s">
        <v>101</v>
      </c>
      <c r="C51" s="397" t="s">
        <v>123</v>
      </c>
      <c r="D51" s="397" t="s">
        <v>211</v>
      </c>
      <c r="E51" s="398" t="s">
        <v>5</v>
      </c>
      <c r="F51" s="397" t="s">
        <v>185</v>
      </c>
      <c r="G51" s="397" t="s">
        <v>177</v>
      </c>
      <c r="H51" s="397" t="s">
        <v>187</v>
      </c>
      <c r="I51" s="397" t="s">
        <v>183</v>
      </c>
      <c r="J51" s="399">
        <v>2.5000000000000001E-2</v>
      </c>
      <c r="K51" s="399">
        <v>3.1E-2</v>
      </c>
      <c r="L51" s="399">
        <v>2.8799999999999999E-2</v>
      </c>
      <c r="M51" s="399">
        <v>2.8799999999999999E-2</v>
      </c>
      <c r="N51" s="399">
        <v>3.0800000000000001E-2</v>
      </c>
      <c r="O51" s="400">
        <v>3.0800000000000001E-2</v>
      </c>
    </row>
    <row r="52" spans="1:15" ht="70.5" thickBot="1" x14ac:dyDescent="0.3">
      <c r="A52" s="379">
        <v>43</v>
      </c>
      <c r="B52" s="405" t="s">
        <v>101</v>
      </c>
      <c r="C52" s="406" t="s">
        <v>130</v>
      </c>
      <c r="D52" s="406" t="s">
        <v>212</v>
      </c>
      <c r="E52" s="407" t="s">
        <v>41</v>
      </c>
      <c r="F52" s="406" t="s">
        <v>175</v>
      </c>
      <c r="G52" s="406" t="s">
        <v>199</v>
      </c>
      <c r="H52" s="406" t="s">
        <v>184</v>
      </c>
      <c r="I52" s="406" t="s">
        <v>200</v>
      </c>
      <c r="J52" s="408">
        <v>4350</v>
      </c>
      <c r="K52" s="408">
        <v>2889</v>
      </c>
      <c r="L52" s="408">
        <v>4000</v>
      </c>
      <c r="M52" s="408">
        <v>4000</v>
      </c>
      <c r="N52" s="408">
        <v>4059</v>
      </c>
      <c r="O52" s="409">
        <v>4059</v>
      </c>
    </row>
    <row r="53" spans="1:15" ht="116.25" x14ac:dyDescent="0.25">
      <c r="A53" s="379">
        <v>44</v>
      </c>
      <c r="B53" s="410" t="s">
        <v>99</v>
      </c>
      <c r="C53" s="411" t="s">
        <v>131</v>
      </c>
      <c r="D53" s="411" t="s">
        <v>211</v>
      </c>
      <c r="E53" s="412" t="s">
        <v>51</v>
      </c>
      <c r="F53" s="411" t="s">
        <v>185</v>
      </c>
      <c r="G53" s="411" t="s">
        <v>177</v>
      </c>
      <c r="H53" s="411" t="s">
        <v>190</v>
      </c>
      <c r="I53" s="411" t="s">
        <v>183</v>
      </c>
      <c r="J53" s="413">
        <v>0.15</v>
      </c>
      <c r="K53" s="413">
        <v>0.1</v>
      </c>
      <c r="L53" s="413">
        <v>0.13700000000000001</v>
      </c>
      <c r="M53" s="413">
        <v>0.13700000000000001</v>
      </c>
      <c r="N53" s="413">
        <v>9.0999999999999998E-2</v>
      </c>
      <c r="O53" s="414">
        <v>9.0999999999999998E-2</v>
      </c>
    </row>
    <row r="54" spans="1:15" ht="116.25" x14ac:dyDescent="0.25">
      <c r="A54" s="379">
        <v>45</v>
      </c>
      <c r="B54" s="396" t="s">
        <v>99</v>
      </c>
      <c r="C54" s="397" t="s">
        <v>135</v>
      </c>
      <c r="D54" s="397" t="s">
        <v>211</v>
      </c>
      <c r="E54" s="398" t="s">
        <v>59</v>
      </c>
      <c r="F54" s="397" t="s">
        <v>191</v>
      </c>
      <c r="G54" s="397" t="s">
        <v>180</v>
      </c>
      <c r="H54" s="397" t="s">
        <v>190</v>
      </c>
      <c r="I54" s="397" t="s">
        <v>183</v>
      </c>
      <c r="J54" s="399">
        <v>0.6</v>
      </c>
      <c r="K54" s="399">
        <v>0.39</v>
      </c>
      <c r="L54" s="399">
        <v>0.55000000000000004</v>
      </c>
      <c r="M54" s="399">
        <v>0.55000000000000004</v>
      </c>
      <c r="N54" s="399">
        <v>0.40200000000000002</v>
      </c>
      <c r="O54" s="400">
        <v>0.40200000000000002</v>
      </c>
    </row>
    <row r="55" spans="1:15" ht="46.5" x14ac:dyDescent="0.25">
      <c r="A55" s="379">
        <v>46</v>
      </c>
      <c r="B55" s="396" t="s">
        <v>99</v>
      </c>
      <c r="C55" s="397" t="s">
        <v>131</v>
      </c>
      <c r="D55" s="397" t="s">
        <v>211</v>
      </c>
      <c r="E55" s="398" t="s">
        <v>54</v>
      </c>
      <c r="F55" s="397" t="s">
        <v>185</v>
      </c>
      <c r="G55" s="397" t="s">
        <v>177</v>
      </c>
      <c r="H55" s="397" t="s">
        <v>184</v>
      </c>
      <c r="I55" s="397" t="s">
        <v>186</v>
      </c>
      <c r="J55" s="399">
        <v>0.56999999999999995</v>
      </c>
      <c r="K55" s="399">
        <v>0.47799999999999998</v>
      </c>
      <c r="L55" s="399">
        <v>0.54300000000000004</v>
      </c>
      <c r="M55" s="399">
        <v>0.54300000000000004</v>
      </c>
      <c r="N55" s="399">
        <v>0.52800000000000002</v>
      </c>
      <c r="O55" s="400">
        <v>0.52800000000000002</v>
      </c>
    </row>
    <row r="56" spans="1:15" ht="69.75" x14ac:dyDescent="0.25">
      <c r="A56" s="379">
        <v>47</v>
      </c>
      <c r="B56" s="396" t="s">
        <v>99</v>
      </c>
      <c r="C56" s="397" t="s">
        <v>134</v>
      </c>
      <c r="D56" s="397" t="s">
        <v>211</v>
      </c>
      <c r="E56" s="398" t="s">
        <v>48</v>
      </c>
      <c r="F56" s="397" t="s">
        <v>191</v>
      </c>
      <c r="G56" s="397" t="s">
        <v>178</v>
      </c>
      <c r="H56" s="397" t="s">
        <v>184</v>
      </c>
      <c r="I56" s="397" t="s">
        <v>183</v>
      </c>
      <c r="J56" s="399">
        <v>0.9</v>
      </c>
      <c r="K56" s="399">
        <v>0.16500000000000001</v>
      </c>
      <c r="L56" s="399">
        <v>0.6</v>
      </c>
      <c r="M56" s="399">
        <v>0.6</v>
      </c>
      <c r="N56" s="399">
        <v>0.53129999999999999</v>
      </c>
      <c r="O56" s="400">
        <v>0.53129999999999999</v>
      </c>
    </row>
    <row r="57" spans="1:15" ht="139.5" x14ac:dyDescent="0.25">
      <c r="A57" s="379">
        <v>48</v>
      </c>
      <c r="B57" s="396" t="s">
        <v>99</v>
      </c>
      <c r="C57" s="397" t="s">
        <v>133</v>
      </c>
      <c r="D57" s="397" t="s">
        <v>211</v>
      </c>
      <c r="E57" s="398" t="s">
        <v>47</v>
      </c>
      <c r="F57" s="397" t="s">
        <v>175</v>
      </c>
      <c r="G57" s="397" t="s">
        <v>180</v>
      </c>
      <c r="H57" s="397" t="s">
        <v>184</v>
      </c>
      <c r="I57" s="397" t="s">
        <v>193</v>
      </c>
      <c r="J57" s="401">
        <v>2000</v>
      </c>
      <c r="K57" s="401">
        <v>117</v>
      </c>
      <c r="L57" s="401">
        <v>1000</v>
      </c>
      <c r="M57" s="401">
        <v>1000</v>
      </c>
      <c r="N57" s="401">
        <v>621</v>
      </c>
      <c r="O57" s="402">
        <v>621</v>
      </c>
    </row>
    <row r="58" spans="1:15" ht="46.5" x14ac:dyDescent="0.25">
      <c r="A58" s="379">
        <v>49</v>
      </c>
      <c r="B58" s="396" t="s">
        <v>99</v>
      </c>
      <c r="C58" s="397" t="s">
        <v>131</v>
      </c>
      <c r="D58" s="397" t="s">
        <v>211</v>
      </c>
      <c r="E58" s="398" t="s">
        <v>55</v>
      </c>
      <c r="F58" s="397" t="s">
        <v>191</v>
      </c>
      <c r="G58" s="397" t="s">
        <v>177</v>
      </c>
      <c r="H58" s="397" t="s">
        <v>190</v>
      </c>
      <c r="I58" s="397" t="s">
        <v>204</v>
      </c>
      <c r="J58" s="401">
        <v>400000</v>
      </c>
      <c r="K58" s="401">
        <v>546631</v>
      </c>
      <c r="L58" s="401">
        <v>278664</v>
      </c>
      <c r="M58" s="401">
        <v>278664</v>
      </c>
      <c r="N58" s="401">
        <v>225662</v>
      </c>
      <c r="O58" s="402">
        <v>225662</v>
      </c>
    </row>
    <row r="59" spans="1:15" ht="46.5" x14ac:dyDescent="0.25">
      <c r="A59" s="379">
        <v>50</v>
      </c>
      <c r="B59" s="396" t="s">
        <v>99</v>
      </c>
      <c r="C59" s="397" t="s">
        <v>131</v>
      </c>
      <c r="D59" s="397" t="s">
        <v>212</v>
      </c>
      <c r="E59" s="398" t="s">
        <v>66</v>
      </c>
      <c r="F59" s="397" t="s">
        <v>185</v>
      </c>
      <c r="G59" s="397" t="s">
        <v>177</v>
      </c>
      <c r="H59" s="397" t="s">
        <v>182</v>
      </c>
      <c r="I59" s="397" t="s">
        <v>186</v>
      </c>
      <c r="J59" s="399">
        <v>0.05</v>
      </c>
      <c r="K59" s="399">
        <v>0</v>
      </c>
      <c r="L59" s="399">
        <v>0.05</v>
      </c>
      <c r="M59" s="399">
        <v>0.05</v>
      </c>
      <c r="N59" s="399">
        <v>2.4299999999999999E-2</v>
      </c>
      <c r="O59" s="400">
        <v>2.4299999999999999E-2</v>
      </c>
    </row>
    <row r="60" spans="1:15" ht="46.5" x14ac:dyDescent="0.25">
      <c r="A60" s="379">
        <v>51</v>
      </c>
      <c r="B60" s="396" t="s">
        <v>99</v>
      </c>
      <c r="C60" s="397" t="s">
        <v>131</v>
      </c>
      <c r="D60" s="397" t="s">
        <v>212</v>
      </c>
      <c r="E60" s="398" t="s">
        <v>45</v>
      </c>
      <c r="F60" s="397" t="s">
        <v>185</v>
      </c>
      <c r="G60" s="397" t="s">
        <v>177</v>
      </c>
      <c r="H60" s="397" t="s">
        <v>184</v>
      </c>
      <c r="I60" s="397" t="s">
        <v>186</v>
      </c>
      <c r="J60" s="399">
        <v>0.2</v>
      </c>
      <c r="K60" s="399">
        <v>0.14899999999999999</v>
      </c>
      <c r="L60" s="399">
        <v>0.187</v>
      </c>
      <c r="M60" s="399">
        <v>0.187</v>
      </c>
      <c r="N60" s="399">
        <v>0.191</v>
      </c>
      <c r="O60" s="400">
        <v>0.191</v>
      </c>
    </row>
    <row r="61" spans="1:15" ht="69.75" x14ac:dyDescent="0.25">
      <c r="A61" s="379">
        <v>52</v>
      </c>
      <c r="B61" s="396" t="s">
        <v>99</v>
      </c>
      <c r="C61" s="397" t="s">
        <v>131</v>
      </c>
      <c r="D61" s="397" t="s">
        <v>212</v>
      </c>
      <c r="E61" s="398" t="s">
        <v>56</v>
      </c>
      <c r="F61" s="397" t="s">
        <v>185</v>
      </c>
      <c r="G61" s="397" t="s">
        <v>177</v>
      </c>
      <c r="H61" s="397" t="s">
        <v>190</v>
      </c>
      <c r="I61" s="397" t="s">
        <v>205</v>
      </c>
      <c r="J61" s="401">
        <v>33</v>
      </c>
      <c r="K61" s="401">
        <v>25</v>
      </c>
      <c r="L61" s="401">
        <v>31</v>
      </c>
      <c r="M61" s="401">
        <v>31</v>
      </c>
      <c r="N61" s="401">
        <v>26</v>
      </c>
      <c r="O61" s="402">
        <v>26</v>
      </c>
    </row>
    <row r="62" spans="1:15" ht="116.25" x14ac:dyDescent="0.25">
      <c r="A62" s="379">
        <v>53</v>
      </c>
      <c r="B62" s="396" t="s">
        <v>99</v>
      </c>
      <c r="C62" s="397" t="s">
        <v>135</v>
      </c>
      <c r="D62" s="397" t="s">
        <v>212</v>
      </c>
      <c r="E62" s="398" t="s">
        <v>181</v>
      </c>
      <c r="F62" s="397" t="s">
        <v>175</v>
      </c>
      <c r="G62" s="397" t="s">
        <v>180</v>
      </c>
      <c r="H62" s="397" t="s">
        <v>188</v>
      </c>
      <c r="I62" s="397" t="s">
        <v>193</v>
      </c>
      <c r="J62" s="401">
        <v>125000</v>
      </c>
      <c r="K62" s="401">
        <v>23067</v>
      </c>
      <c r="L62" s="401">
        <v>36183</v>
      </c>
      <c r="M62" s="401">
        <v>88817</v>
      </c>
      <c r="N62" s="401">
        <v>23777</v>
      </c>
      <c r="O62" s="402">
        <v>66342</v>
      </c>
    </row>
    <row r="63" spans="1:15" ht="46.5" x14ac:dyDescent="0.25">
      <c r="A63" s="379">
        <v>54</v>
      </c>
      <c r="B63" s="396" t="s">
        <v>99</v>
      </c>
      <c r="C63" s="397" t="s">
        <v>131</v>
      </c>
      <c r="D63" s="397" t="s">
        <v>212</v>
      </c>
      <c r="E63" s="398" t="s">
        <v>65</v>
      </c>
      <c r="F63" s="397" t="s">
        <v>175</v>
      </c>
      <c r="G63" s="397" t="s">
        <v>177</v>
      </c>
      <c r="H63" s="397" t="s">
        <v>188</v>
      </c>
      <c r="I63" s="397" t="s">
        <v>193</v>
      </c>
      <c r="J63" s="401">
        <v>40000</v>
      </c>
      <c r="K63" s="401">
        <v>0</v>
      </c>
      <c r="L63" s="401">
        <v>10000</v>
      </c>
      <c r="M63" s="401">
        <v>30000</v>
      </c>
      <c r="N63" s="401">
        <v>31977</v>
      </c>
      <c r="O63" s="402">
        <v>31977</v>
      </c>
    </row>
    <row r="64" spans="1:15" ht="47.25" thickBot="1" x14ac:dyDescent="0.3">
      <c r="A64" s="379">
        <v>55</v>
      </c>
      <c r="B64" s="405" t="s">
        <v>99</v>
      </c>
      <c r="C64" s="406" t="s">
        <v>131</v>
      </c>
      <c r="D64" s="406" t="s">
        <v>212</v>
      </c>
      <c r="E64" s="407" t="s">
        <v>52</v>
      </c>
      <c r="F64" s="406" t="s">
        <v>191</v>
      </c>
      <c r="G64" s="406" t="s">
        <v>177</v>
      </c>
      <c r="H64" s="406" t="s">
        <v>190</v>
      </c>
      <c r="I64" s="406" t="s">
        <v>204</v>
      </c>
      <c r="J64" s="408">
        <v>318664</v>
      </c>
      <c r="K64" s="408">
        <v>168664</v>
      </c>
      <c r="L64" s="408">
        <v>110715</v>
      </c>
      <c r="M64" s="408">
        <v>279379</v>
      </c>
      <c r="N64" s="408">
        <v>179501</v>
      </c>
      <c r="O64" s="409">
        <v>189519</v>
      </c>
    </row>
    <row r="65" spans="1:15" ht="93.75" thickBot="1" x14ac:dyDescent="0.3">
      <c r="A65" s="379">
        <v>56</v>
      </c>
      <c r="B65" s="415" t="s">
        <v>281</v>
      </c>
      <c r="C65" s="416" t="s">
        <v>132</v>
      </c>
      <c r="D65" s="416" t="s">
        <v>211</v>
      </c>
      <c r="E65" s="417" t="s">
        <v>46</v>
      </c>
      <c r="F65" s="416" t="s">
        <v>175</v>
      </c>
      <c r="G65" s="416" t="s">
        <v>203</v>
      </c>
      <c r="H65" s="416" t="s">
        <v>184</v>
      </c>
      <c r="I65" s="416" t="s">
        <v>183</v>
      </c>
      <c r="J65" s="418">
        <v>0.9</v>
      </c>
      <c r="K65" s="418">
        <v>0.68</v>
      </c>
      <c r="L65" s="418">
        <v>0.83</v>
      </c>
      <c r="M65" s="418">
        <v>0.83</v>
      </c>
      <c r="N65" s="418">
        <v>0.62629999999999997</v>
      </c>
      <c r="O65" s="419">
        <v>0.62629999999999997</v>
      </c>
    </row>
    <row r="66" spans="1:15" ht="26.25" x14ac:dyDescent="0.25">
      <c r="A66" s="379"/>
      <c r="B66" s="380"/>
      <c r="C66" s="380"/>
      <c r="D66" s="380"/>
      <c r="E66" s="381"/>
      <c r="F66" s="380"/>
      <c r="G66" s="380"/>
      <c r="H66" s="380"/>
      <c r="I66" s="380"/>
      <c r="J66" s="387"/>
      <c r="K66" s="387"/>
      <c r="L66" s="387"/>
      <c r="M66" s="387"/>
      <c r="N66" s="387"/>
      <c r="O66" s="387"/>
    </row>
    <row r="67" spans="1:15" ht="26.25" x14ac:dyDescent="0.35">
      <c r="A67" s="379"/>
      <c r="B67" s="378" t="s">
        <v>298</v>
      </c>
      <c r="C67" s="380"/>
      <c r="D67" s="380"/>
      <c r="E67" s="381"/>
      <c r="F67" s="380"/>
      <c r="G67" s="380"/>
      <c r="H67" s="380"/>
      <c r="I67" s="380"/>
      <c r="J67" s="387"/>
      <c r="K67" s="387"/>
      <c r="L67" s="387"/>
      <c r="M67" s="387"/>
      <c r="N67" s="387"/>
      <c r="O67" s="387"/>
    </row>
    <row r="68" spans="1:15" ht="27" thickBot="1" x14ac:dyDescent="0.4">
      <c r="A68" s="379"/>
      <c r="B68" s="378"/>
      <c r="C68" s="380"/>
      <c r="D68" s="380"/>
      <c r="E68" s="381"/>
      <c r="F68" s="380"/>
      <c r="G68" s="380"/>
      <c r="H68" s="380"/>
      <c r="I68" s="380"/>
      <c r="J68" s="387"/>
      <c r="K68" s="387"/>
      <c r="L68" s="387"/>
      <c r="M68" s="387"/>
      <c r="N68" s="387"/>
      <c r="O68" s="387"/>
    </row>
    <row r="69" spans="1:15" ht="105.75" thickBot="1" x14ac:dyDescent="0.3">
      <c r="A69" s="379"/>
      <c r="B69" s="388" t="s">
        <v>100</v>
      </c>
      <c r="C69" s="389" t="s">
        <v>122</v>
      </c>
      <c r="D69" s="389" t="s">
        <v>300</v>
      </c>
      <c r="E69" s="389" t="s">
        <v>297</v>
      </c>
      <c r="F69" s="389" t="s">
        <v>174</v>
      </c>
      <c r="G69" s="389" t="s">
        <v>299</v>
      </c>
      <c r="H69" s="389" t="s">
        <v>173</v>
      </c>
      <c r="I69" s="389" t="s">
        <v>304</v>
      </c>
      <c r="J69" s="420" t="s">
        <v>301</v>
      </c>
      <c r="K69" s="420" t="s">
        <v>215</v>
      </c>
      <c r="L69" s="420" t="s">
        <v>90</v>
      </c>
      <c r="M69" s="420" t="s">
        <v>140</v>
      </c>
      <c r="N69" s="420" t="s">
        <v>302</v>
      </c>
      <c r="O69" s="421" t="s">
        <v>303</v>
      </c>
    </row>
    <row r="70" spans="1:15" ht="93" x14ac:dyDescent="0.25">
      <c r="A70" s="379">
        <v>57</v>
      </c>
      <c r="B70" s="410" t="s">
        <v>101</v>
      </c>
      <c r="C70" s="411" t="s">
        <v>138</v>
      </c>
      <c r="D70" s="411" t="s">
        <v>211</v>
      </c>
      <c r="E70" s="412" t="s">
        <v>77</v>
      </c>
      <c r="F70" s="411" t="s">
        <v>175</v>
      </c>
      <c r="G70" s="411" t="s">
        <v>180</v>
      </c>
      <c r="H70" s="411" t="s">
        <v>184</v>
      </c>
      <c r="I70" s="411" t="s">
        <v>210</v>
      </c>
      <c r="J70" s="422">
        <v>282</v>
      </c>
      <c r="K70" s="422" t="s">
        <v>260</v>
      </c>
      <c r="L70" s="422">
        <v>223</v>
      </c>
      <c r="M70" s="422">
        <v>223</v>
      </c>
      <c r="N70" s="423" t="s">
        <v>278</v>
      </c>
      <c r="O70" s="424" t="s">
        <v>278</v>
      </c>
    </row>
    <row r="71" spans="1:15" ht="69.75" x14ac:dyDescent="0.25">
      <c r="A71" s="379">
        <f>+A70+1</f>
        <v>58</v>
      </c>
      <c r="B71" s="396" t="s">
        <v>101</v>
      </c>
      <c r="C71" s="397" t="s">
        <v>123</v>
      </c>
      <c r="D71" s="397" t="s">
        <v>211</v>
      </c>
      <c r="E71" s="398" t="s">
        <v>26</v>
      </c>
      <c r="F71" s="397" t="s">
        <v>191</v>
      </c>
      <c r="G71" s="397" t="s">
        <v>177</v>
      </c>
      <c r="H71" s="397" t="s">
        <v>187</v>
      </c>
      <c r="I71" s="397" t="s">
        <v>195</v>
      </c>
      <c r="J71" s="401">
        <v>553408</v>
      </c>
      <c r="K71" s="401">
        <v>690512</v>
      </c>
      <c r="L71" s="401">
        <v>603443</v>
      </c>
      <c r="M71" s="401">
        <v>603443</v>
      </c>
      <c r="N71" s="425" t="s">
        <v>278</v>
      </c>
      <c r="O71" s="426" t="s">
        <v>278</v>
      </c>
    </row>
    <row r="72" spans="1:15" ht="116.25" x14ac:dyDescent="0.25">
      <c r="A72" s="379">
        <f t="shared" ref="A72:A91" si="0">+A71+1</f>
        <v>59</v>
      </c>
      <c r="B72" s="396" t="s">
        <v>101</v>
      </c>
      <c r="C72" s="397" t="s">
        <v>125</v>
      </c>
      <c r="D72" s="397" t="s">
        <v>212</v>
      </c>
      <c r="E72" s="398" t="s">
        <v>9</v>
      </c>
      <c r="F72" s="397" t="s">
        <v>185</v>
      </c>
      <c r="G72" s="397" t="s">
        <v>177</v>
      </c>
      <c r="H72" s="397" t="s">
        <v>184</v>
      </c>
      <c r="I72" s="397" t="s">
        <v>183</v>
      </c>
      <c r="J72" s="399">
        <v>0.42</v>
      </c>
      <c r="K72" s="399">
        <v>0.35699999999999998</v>
      </c>
      <c r="L72" s="399">
        <v>0.40788999999999997</v>
      </c>
      <c r="M72" s="399">
        <v>0.40788999999999997</v>
      </c>
      <c r="N72" s="427" t="s">
        <v>278</v>
      </c>
      <c r="O72" s="428" t="s">
        <v>278</v>
      </c>
    </row>
    <row r="73" spans="1:15" ht="116.25" x14ac:dyDescent="0.25">
      <c r="A73" s="379">
        <f t="shared" si="0"/>
        <v>60</v>
      </c>
      <c r="B73" s="396" t="s">
        <v>101</v>
      </c>
      <c r="C73" s="397" t="s">
        <v>125</v>
      </c>
      <c r="D73" s="397" t="s">
        <v>211</v>
      </c>
      <c r="E73" s="398" t="s">
        <v>8</v>
      </c>
      <c r="F73" s="397" t="s">
        <v>185</v>
      </c>
      <c r="G73" s="397" t="s">
        <v>177</v>
      </c>
      <c r="H73" s="397" t="s">
        <v>184</v>
      </c>
      <c r="I73" s="397" t="s">
        <v>183</v>
      </c>
      <c r="J73" s="399">
        <v>0.45</v>
      </c>
      <c r="K73" s="399">
        <v>0.371</v>
      </c>
      <c r="L73" s="399">
        <v>0.42392000000000002</v>
      </c>
      <c r="M73" s="399">
        <v>0.42392000000000002</v>
      </c>
      <c r="N73" s="427" t="s">
        <v>278</v>
      </c>
      <c r="O73" s="428" t="s">
        <v>278</v>
      </c>
    </row>
    <row r="74" spans="1:15" ht="93" x14ac:dyDescent="0.25">
      <c r="A74" s="379">
        <f t="shared" si="0"/>
        <v>61</v>
      </c>
      <c r="B74" s="396" t="s">
        <v>101</v>
      </c>
      <c r="C74" s="397" t="s">
        <v>127</v>
      </c>
      <c r="D74" s="397" t="s">
        <v>211</v>
      </c>
      <c r="E74" s="398" t="s">
        <v>40</v>
      </c>
      <c r="F74" s="397" t="s">
        <v>191</v>
      </c>
      <c r="G74" s="397" t="s">
        <v>177</v>
      </c>
      <c r="H74" s="397" t="s">
        <v>190</v>
      </c>
      <c r="I74" s="397" t="s">
        <v>183</v>
      </c>
      <c r="J74" s="399">
        <v>0.1196</v>
      </c>
      <c r="K74" s="399">
        <v>9.4E-2</v>
      </c>
      <c r="L74" s="399">
        <v>0.1132</v>
      </c>
      <c r="M74" s="399">
        <v>0.1132</v>
      </c>
      <c r="N74" s="427" t="s">
        <v>278</v>
      </c>
      <c r="O74" s="428" t="s">
        <v>278</v>
      </c>
    </row>
    <row r="75" spans="1:15" ht="93" x14ac:dyDescent="0.25">
      <c r="A75" s="379">
        <f t="shared" si="0"/>
        <v>62</v>
      </c>
      <c r="B75" s="396" t="s">
        <v>101</v>
      </c>
      <c r="C75" s="397" t="s">
        <v>127</v>
      </c>
      <c r="D75" s="397" t="s">
        <v>212</v>
      </c>
      <c r="E75" s="398" t="s">
        <v>30</v>
      </c>
      <c r="F75" s="397" t="s">
        <v>191</v>
      </c>
      <c r="G75" s="397" t="s">
        <v>177</v>
      </c>
      <c r="H75" s="397" t="s">
        <v>184</v>
      </c>
      <c r="I75" s="397" t="s">
        <v>183</v>
      </c>
      <c r="J75" s="399">
        <v>0.12</v>
      </c>
      <c r="K75" s="399">
        <v>0</v>
      </c>
      <c r="L75" s="399">
        <v>0.09</v>
      </c>
      <c r="M75" s="399">
        <v>0.09</v>
      </c>
      <c r="N75" s="427" t="s">
        <v>278</v>
      </c>
      <c r="O75" s="428" t="s">
        <v>278</v>
      </c>
    </row>
    <row r="76" spans="1:15" ht="69.75" x14ac:dyDescent="0.25">
      <c r="A76" s="379">
        <f t="shared" si="0"/>
        <v>63</v>
      </c>
      <c r="B76" s="396" t="s">
        <v>101</v>
      </c>
      <c r="C76" s="397" t="s">
        <v>126</v>
      </c>
      <c r="D76" s="397" t="s">
        <v>211</v>
      </c>
      <c r="E76" s="398" t="s">
        <v>79</v>
      </c>
      <c r="F76" s="397" t="s">
        <v>175</v>
      </c>
      <c r="G76" s="397" t="s">
        <v>180</v>
      </c>
      <c r="H76" s="397" t="s">
        <v>184</v>
      </c>
      <c r="I76" s="397" t="s">
        <v>183</v>
      </c>
      <c r="J76" s="399">
        <v>0.84</v>
      </c>
      <c r="K76" s="399">
        <v>0.72</v>
      </c>
      <c r="L76" s="399">
        <v>0.81</v>
      </c>
      <c r="M76" s="399">
        <v>0.81</v>
      </c>
      <c r="N76" s="427" t="s">
        <v>278</v>
      </c>
      <c r="O76" s="428" t="s">
        <v>278</v>
      </c>
    </row>
    <row r="77" spans="1:15" ht="93" x14ac:dyDescent="0.25">
      <c r="A77" s="379">
        <f t="shared" si="0"/>
        <v>64</v>
      </c>
      <c r="B77" s="396" t="s">
        <v>101</v>
      </c>
      <c r="C77" s="397" t="s">
        <v>137</v>
      </c>
      <c r="D77" s="397" t="s">
        <v>211</v>
      </c>
      <c r="E77" s="398" t="s">
        <v>74</v>
      </c>
      <c r="F77" s="397" t="s">
        <v>179</v>
      </c>
      <c r="G77" s="397" t="s">
        <v>180</v>
      </c>
      <c r="H77" s="397" t="s">
        <v>182</v>
      </c>
      <c r="I77" s="397" t="s">
        <v>183</v>
      </c>
      <c r="J77" s="399">
        <v>1</v>
      </c>
      <c r="K77" s="399" t="s">
        <v>260</v>
      </c>
      <c r="L77" s="399">
        <v>1</v>
      </c>
      <c r="M77" s="399">
        <v>1</v>
      </c>
      <c r="N77" s="427" t="s">
        <v>278</v>
      </c>
      <c r="O77" s="428" t="s">
        <v>278</v>
      </c>
    </row>
    <row r="78" spans="1:15" ht="69.75" x14ac:dyDescent="0.25">
      <c r="A78" s="379">
        <f t="shared" si="0"/>
        <v>65</v>
      </c>
      <c r="B78" s="396" t="s">
        <v>101</v>
      </c>
      <c r="C78" s="397" t="s">
        <v>123</v>
      </c>
      <c r="D78" s="397" t="s">
        <v>212</v>
      </c>
      <c r="E78" s="398" t="s">
        <v>156</v>
      </c>
      <c r="F78" s="397" t="s">
        <v>185</v>
      </c>
      <c r="G78" s="397" t="s">
        <v>177</v>
      </c>
      <c r="H78" s="397" t="s">
        <v>184</v>
      </c>
      <c r="I78" s="397" t="s">
        <v>186</v>
      </c>
      <c r="J78" s="399">
        <v>0.69</v>
      </c>
      <c r="K78" s="399">
        <v>0.621</v>
      </c>
      <c r="L78" s="399">
        <v>0.67976000000000003</v>
      </c>
      <c r="M78" s="399">
        <v>0.67976000000000003</v>
      </c>
      <c r="N78" s="427" t="s">
        <v>278</v>
      </c>
      <c r="O78" s="428" t="s">
        <v>278</v>
      </c>
    </row>
    <row r="79" spans="1:15" ht="69.75" x14ac:dyDescent="0.25">
      <c r="A79" s="379">
        <f t="shared" si="0"/>
        <v>66</v>
      </c>
      <c r="B79" s="396" t="s">
        <v>101</v>
      </c>
      <c r="C79" s="397" t="s">
        <v>123</v>
      </c>
      <c r="D79" s="397" t="s">
        <v>211</v>
      </c>
      <c r="E79" s="398" t="s">
        <v>3</v>
      </c>
      <c r="F79" s="397" t="s">
        <v>185</v>
      </c>
      <c r="G79" s="397" t="s">
        <v>177</v>
      </c>
      <c r="H79" s="397" t="s">
        <v>184</v>
      </c>
      <c r="I79" s="397" t="s">
        <v>186</v>
      </c>
      <c r="J79" s="399">
        <v>0.45</v>
      </c>
      <c r="K79" s="399">
        <v>0.372</v>
      </c>
      <c r="L79" s="399">
        <v>0.43009999999999998</v>
      </c>
      <c r="M79" s="399">
        <v>0.43009999999999998</v>
      </c>
      <c r="N79" s="427" t="s">
        <v>278</v>
      </c>
      <c r="O79" s="428" t="s">
        <v>278</v>
      </c>
    </row>
    <row r="80" spans="1:15" ht="70.5" thickBot="1" x14ac:dyDescent="0.3">
      <c r="A80" s="379">
        <f t="shared" si="0"/>
        <v>67</v>
      </c>
      <c r="B80" s="405" t="s">
        <v>101</v>
      </c>
      <c r="C80" s="406" t="s">
        <v>123</v>
      </c>
      <c r="D80" s="406" t="s">
        <v>211</v>
      </c>
      <c r="E80" s="407" t="s">
        <v>21</v>
      </c>
      <c r="F80" s="406" t="s">
        <v>185</v>
      </c>
      <c r="G80" s="406" t="s">
        <v>177</v>
      </c>
      <c r="H80" s="406" t="s">
        <v>184</v>
      </c>
      <c r="I80" s="406" t="s">
        <v>186</v>
      </c>
      <c r="J80" s="429">
        <v>0.189</v>
      </c>
      <c r="K80" s="429">
        <v>0.16930000000000001</v>
      </c>
      <c r="L80" s="429">
        <v>0.184</v>
      </c>
      <c r="M80" s="429">
        <v>0.184</v>
      </c>
      <c r="N80" s="430" t="s">
        <v>278</v>
      </c>
      <c r="O80" s="431" t="s">
        <v>278</v>
      </c>
    </row>
    <row r="81" spans="1:15" ht="46.5" x14ac:dyDescent="0.25">
      <c r="A81" s="379">
        <f t="shared" si="0"/>
        <v>68</v>
      </c>
      <c r="B81" s="410" t="s">
        <v>99</v>
      </c>
      <c r="C81" s="411" t="s">
        <v>131</v>
      </c>
      <c r="D81" s="411" t="s">
        <v>211</v>
      </c>
      <c r="E81" s="432" t="s">
        <v>67</v>
      </c>
      <c r="F81" s="411" t="s">
        <v>175</v>
      </c>
      <c r="G81" s="411" t="s">
        <v>177</v>
      </c>
      <c r="H81" s="411" t="s">
        <v>188</v>
      </c>
      <c r="I81" s="411" t="s">
        <v>204</v>
      </c>
      <c r="J81" s="422">
        <v>20</v>
      </c>
      <c r="K81" s="422">
        <v>0</v>
      </c>
      <c r="L81" s="422">
        <v>6</v>
      </c>
      <c r="M81" s="422">
        <v>6</v>
      </c>
      <c r="N81" s="423" t="s">
        <v>278</v>
      </c>
      <c r="O81" s="424" t="s">
        <v>278</v>
      </c>
    </row>
    <row r="82" spans="1:15" ht="46.5" x14ac:dyDescent="0.25">
      <c r="A82" s="379">
        <f t="shared" si="0"/>
        <v>69</v>
      </c>
      <c r="B82" s="396" t="s">
        <v>99</v>
      </c>
      <c r="C82" s="397" t="s">
        <v>131</v>
      </c>
      <c r="D82" s="397" t="s">
        <v>211</v>
      </c>
      <c r="E82" s="433" t="s">
        <v>60</v>
      </c>
      <c r="F82" s="397" t="s">
        <v>175</v>
      </c>
      <c r="G82" s="397" t="s">
        <v>177</v>
      </c>
      <c r="H82" s="397" t="s">
        <v>184</v>
      </c>
      <c r="I82" s="397" t="s">
        <v>198</v>
      </c>
      <c r="J82" s="401">
        <v>10000</v>
      </c>
      <c r="K82" s="401">
        <v>8893</v>
      </c>
      <c r="L82" s="401">
        <v>9400</v>
      </c>
      <c r="M82" s="401">
        <v>9400</v>
      </c>
      <c r="N82" s="425" t="s">
        <v>278</v>
      </c>
      <c r="O82" s="426" t="s">
        <v>278</v>
      </c>
    </row>
    <row r="83" spans="1:15" ht="93" x14ac:dyDescent="0.25">
      <c r="A83" s="379">
        <f t="shared" si="0"/>
        <v>70</v>
      </c>
      <c r="B83" s="396" t="s">
        <v>99</v>
      </c>
      <c r="C83" s="397" t="s">
        <v>131</v>
      </c>
      <c r="D83" s="397" t="s">
        <v>211</v>
      </c>
      <c r="E83" s="433" t="s">
        <v>70</v>
      </c>
      <c r="F83" s="397" t="s">
        <v>175</v>
      </c>
      <c r="G83" s="397" t="s">
        <v>177</v>
      </c>
      <c r="H83" s="397" t="s">
        <v>188</v>
      </c>
      <c r="I83" s="397" t="s">
        <v>208</v>
      </c>
      <c r="J83" s="401">
        <v>8000</v>
      </c>
      <c r="K83" s="401">
        <v>1300</v>
      </c>
      <c r="L83" s="401">
        <v>2000</v>
      </c>
      <c r="M83" s="401">
        <v>2000</v>
      </c>
      <c r="N83" s="425" t="s">
        <v>278</v>
      </c>
      <c r="O83" s="426" t="s">
        <v>278</v>
      </c>
    </row>
    <row r="84" spans="1:15" ht="69.75" x14ac:dyDescent="0.25">
      <c r="A84" s="379">
        <f t="shared" si="0"/>
        <v>71</v>
      </c>
      <c r="B84" s="396" t="s">
        <v>99</v>
      </c>
      <c r="C84" s="397" t="s">
        <v>131</v>
      </c>
      <c r="D84" s="397" t="s">
        <v>211</v>
      </c>
      <c r="E84" s="398" t="s">
        <v>61</v>
      </c>
      <c r="F84" s="397" t="s">
        <v>175</v>
      </c>
      <c r="G84" s="397" t="s">
        <v>177</v>
      </c>
      <c r="H84" s="397" t="s">
        <v>184</v>
      </c>
      <c r="I84" s="397" t="s">
        <v>206</v>
      </c>
      <c r="J84" s="401">
        <v>25</v>
      </c>
      <c r="K84" s="401">
        <v>0</v>
      </c>
      <c r="L84" s="401">
        <v>20</v>
      </c>
      <c r="M84" s="401">
        <v>20</v>
      </c>
      <c r="N84" s="425" t="s">
        <v>278</v>
      </c>
      <c r="O84" s="426" t="s">
        <v>278</v>
      </c>
    </row>
    <row r="85" spans="1:15" ht="69.75" x14ac:dyDescent="0.25">
      <c r="A85" s="379">
        <f t="shared" si="0"/>
        <v>72</v>
      </c>
      <c r="B85" s="396" t="s">
        <v>99</v>
      </c>
      <c r="C85" s="397" t="s">
        <v>131</v>
      </c>
      <c r="D85" s="397" t="s">
        <v>211</v>
      </c>
      <c r="E85" s="398" t="s">
        <v>62</v>
      </c>
      <c r="F85" s="397" t="s">
        <v>191</v>
      </c>
      <c r="G85" s="397" t="s">
        <v>177</v>
      </c>
      <c r="H85" s="397" t="s">
        <v>190</v>
      </c>
      <c r="I85" s="397" t="s">
        <v>207</v>
      </c>
      <c r="J85" s="401">
        <v>40000</v>
      </c>
      <c r="K85" s="401">
        <v>82723</v>
      </c>
      <c r="L85" s="401">
        <v>28500</v>
      </c>
      <c r="M85" s="401">
        <v>28500</v>
      </c>
      <c r="N85" s="425" t="s">
        <v>278</v>
      </c>
      <c r="O85" s="426" t="s">
        <v>278</v>
      </c>
    </row>
    <row r="86" spans="1:15" ht="46.5" x14ac:dyDescent="0.25">
      <c r="A86" s="379">
        <f t="shared" si="0"/>
        <v>73</v>
      </c>
      <c r="B86" s="396" t="s">
        <v>99</v>
      </c>
      <c r="C86" s="397" t="s">
        <v>131</v>
      </c>
      <c r="D86" s="397" t="s">
        <v>211</v>
      </c>
      <c r="E86" s="398" t="s">
        <v>63</v>
      </c>
      <c r="F86" s="397" t="s">
        <v>191</v>
      </c>
      <c r="G86" s="397" t="s">
        <v>177</v>
      </c>
      <c r="H86" s="397" t="s">
        <v>190</v>
      </c>
      <c r="I86" s="397" t="s">
        <v>204</v>
      </c>
      <c r="J86" s="401">
        <v>7000</v>
      </c>
      <c r="K86" s="401">
        <v>14623</v>
      </c>
      <c r="L86" s="401">
        <v>5000</v>
      </c>
      <c r="M86" s="401">
        <v>5000</v>
      </c>
      <c r="N86" s="425" t="s">
        <v>278</v>
      </c>
      <c r="O86" s="426" t="s">
        <v>278</v>
      </c>
    </row>
    <row r="87" spans="1:15" ht="93" x14ac:dyDescent="0.25">
      <c r="A87" s="379">
        <f t="shared" si="0"/>
        <v>74</v>
      </c>
      <c r="B87" s="396" t="s">
        <v>99</v>
      </c>
      <c r="C87" s="397" t="s">
        <v>131</v>
      </c>
      <c r="D87" s="397" t="s">
        <v>211</v>
      </c>
      <c r="E87" s="398" t="s">
        <v>50</v>
      </c>
      <c r="F87" s="397" t="s">
        <v>185</v>
      </c>
      <c r="G87" s="397" t="s">
        <v>177</v>
      </c>
      <c r="H87" s="397" t="s">
        <v>190</v>
      </c>
      <c r="I87" s="397" t="s">
        <v>183</v>
      </c>
      <c r="J87" s="399">
        <v>0.14699999999999999</v>
      </c>
      <c r="K87" s="399">
        <v>9.2999999999999999E-2</v>
      </c>
      <c r="L87" s="399">
        <v>0.13</v>
      </c>
      <c r="M87" s="399">
        <v>0.13</v>
      </c>
      <c r="N87" s="427" t="s">
        <v>278</v>
      </c>
      <c r="O87" s="428" t="s">
        <v>278</v>
      </c>
    </row>
    <row r="88" spans="1:15" ht="116.25" x14ac:dyDescent="0.25">
      <c r="A88" s="379">
        <f t="shared" si="0"/>
        <v>75</v>
      </c>
      <c r="B88" s="396" t="s">
        <v>99</v>
      </c>
      <c r="C88" s="397" t="s">
        <v>131</v>
      </c>
      <c r="D88" s="397" t="s">
        <v>211</v>
      </c>
      <c r="E88" s="398" t="s">
        <v>49</v>
      </c>
      <c r="F88" s="397" t="s">
        <v>185</v>
      </c>
      <c r="G88" s="397" t="s">
        <v>177</v>
      </c>
      <c r="H88" s="397" t="s">
        <v>190</v>
      </c>
      <c r="I88" s="397" t="s">
        <v>183</v>
      </c>
      <c r="J88" s="399">
        <v>0.13200000000000001</v>
      </c>
      <c r="K88" s="399">
        <v>3.4000000000000002E-2</v>
      </c>
      <c r="L88" s="399">
        <v>0.09</v>
      </c>
      <c r="M88" s="399">
        <v>0.09</v>
      </c>
      <c r="N88" s="427" t="s">
        <v>278</v>
      </c>
      <c r="O88" s="428" t="s">
        <v>278</v>
      </c>
    </row>
    <row r="89" spans="1:15" ht="69.75" x14ac:dyDescent="0.25">
      <c r="A89" s="379">
        <f t="shared" si="0"/>
        <v>76</v>
      </c>
      <c r="B89" s="396" t="s">
        <v>99</v>
      </c>
      <c r="C89" s="397" t="s">
        <v>131</v>
      </c>
      <c r="D89" s="397" t="s">
        <v>211</v>
      </c>
      <c r="E89" s="398" t="s">
        <v>64</v>
      </c>
      <c r="F89" s="397" t="s">
        <v>185</v>
      </c>
      <c r="G89" s="397" t="s">
        <v>177</v>
      </c>
      <c r="H89" s="397" t="s">
        <v>184</v>
      </c>
      <c r="I89" s="397" t="s">
        <v>207</v>
      </c>
      <c r="J89" s="401">
        <v>2000</v>
      </c>
      <c r="K89" s="401">
        <v>2709</v>
      </c>
      <c r="L89" s="401">
        <v>3745</v>
      </c>
      <c r="M89" s="401">
        <v>3745</v>
      </c>
      <c r="N89" s="425" t="s">
        <v>278</v>
      </c>
      <c r="O89" s="426" t="s">
        <v>278</v>
      </c>
    </row>
    <row r="90" spans="1:15" ht="46.5" x14ac:dyDescent="0.25">
      <c r="A90" s="379">
        <f t="shared" si="0"/>
        <v>77</v>
      </c>
      <c r="B90" s="396" t="s">
        <v>99</v>
      </c>
      <c r="C90" s="397" t="s">
        <v>131</v>
      </c>
      <c r="D90" s="397" t="s">
        <v>211</v>
      </c>
      <c r="E90" s="398" t="s">
        <v>53</v>
      </c>
      <c r="F90" s="397" t="s">
        <v>185</v>
      </c>
      <c r="G90" s="397" t="s">
        <v>177</v>
      </c>
      <c r="H90" s="397" t="s">
        <v>187</v>
      </c>
      <c r="I90" s="397" t="s">
        <v>186</v>
      </c>
      <c r="J90" s="399">
        <v>0.15</v>
      </c>
      <c r="K90" s="399">
        <v>0.19400000000000001</v>
      </c>
      <c r="L90" s="399">
        <v>0.161</v>
      </c>
      <c r="M90" s="399">
        <v>0.161</v>
      </c>
      <c r="N90" s="427" t="s">
        <v>278</v>
      </c>
      <c r="O90" s="428" t="s">
        <v>278</v>
      </c>
    </row>
    <row r="91" spans="1:15" ht="47.25" thickBot="1" x14ac:dyDescent="0.3">
      <c r="A91" s="379">
        <f t="shared" si="0"/>
        <v>78</v>
      </c>
      <c r="B91" s="405" t="s">
        <v>99</v>
      </c>
      <c r="C91" s="406" t="s">
        <v>131</v>
      </c>
      <c r="D91" s="406" t="s">
        <v>211</v>
      </c>
      <c r="E91" s="407" t="s">
        <v>57</v>
      </c>
      <c r="F91" s="406" t="s">
        <v>185</v>
      </c>
      <c r="G91" s="406" t="s">
        <v>177</v>
      </c>
      <c r="H91" s="406" t="s">
        <v>187</v>
      </c>
      <c r="I91" s="406" t="s">
        <v>186</v>
      </c>
      <c r="J91" s="429">
        <v>0.08</v>
      </c>
      <c r="K91" s="429">
        <v>0.10100000000000001</v>
      </c>
      <c r="L91" s="429">
        <v>8.5999999999999993E-2</v>
      </c>
      <c r="M91" s="429">
        <v>8.5999999999999993E-2</v>
      </c>
      <c r="N91" s="430" t="s">
        <v>278</v>
      </c>
      <c r="O91" s="431" t="s">
        <v>278</v>
      </c>
    </row>
    <row r="92" spans="1:15" ht="23.25" x14ac:dyDescent="0.25">
      <c r="B92" s="830" t="s">
        <v>305</v>
      </c>
      <c r="C92" s="831"/>
      <c r="D92" s="831"/>
      <c r="E92" s="831"/>
    </row>
  </sheetData>
  <autoFilter ref="B9:O92" xr:uid="{00000000-0009-0000-0000-00000E000000}"/>
  <sortState xmlns:xlrd2="http://schemas.microsoft.com/office/spreadsheetml/2017/richdata2" ref="B81:O91">
    <sortCondition ref="E81:E91"/>
  </sortState>
  <mergeCells count="5">
    <mergeCell ref="B1:O1"/>
    <mergeCell ref="B2:O2"/>
    <mergeCell ref="B4:O4"/>
    <mergeCell ref="B5:O5"/>
    <mergeCell ref="B92:E92"/>
  </mergeCells>
  <printOptions horizontalCentered="1"/>
  <pageMargins left="0.47244094488188981" right="0.36" top="0.59" bottom="0.53" header="0.31496062992125984" footer="0.31496062992125984"/>
  <pageSetup scale="31"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R91"/>
  <sheetViews>
    <sheetView topLeftCell="D1" zoomScale="90" zoomScaleNormal="90" workbookViewId="0">
      <pane ySplit="7" topLeftCell="A8" activePane="bottomLeft" state="frozen"/>
      <selection activeCell="G53" sqref="G53"/>
      <selection pane="bottomLeft" activeCell="E11" sqref="E11"/>
    </sheetView>
  </sheetViews>
  <sheetFormatPr baseColWidth="10" defaultColWidth="8.7109375" defaultRowHeight="15" x14ac:dyDescent="0.25"/>
  <cols>
    <col min="1" max="1" width="6" hidden="1" customWidth="1"/>
    <col min="2" max="2" width="23.5703125" hidden="1" customWidth="1"/>
    <col min="3" max="3" width="10.85546875" hidden="1" customWidth="1"/>
    <col min="4" max="4" width="8.42578125" customWidth="1"/>
    <col min="5" max="5" width="24.5703125" customWidth="1"/>
    <col min="6" max="6" width="6.140625" hidden="1" customWidth="1"/>
    <col min="7" max="7" width="25.42578125" customWidth="1"/>
    <col min="8" max="8" width="11.28515625" customWidth="1"/>
    <col min="9" max="9" width="9.7109375" customWidth="1"/>
    <col min="10" max="10" width="16.7109375" customWidth="1"/>
    <col min="11" max="11" width="13.28515625" customWidth="1"/>
    <col min="12" max="12" width="12.7109375" style="5" customWidth="1"/>
    <col min="13" max="13" width="11.42578125" style="5" customWidth="1"/>
    <col min="14" max="14" width="11.85546875" style="5" customWidth="1"/>
    <col min="15" max="15" width="12.42578125" style="5" customWidth="1"/>
    <col min="16" max="17" width="12.140625" style="5" customWidth="1"/>
    <col min="18" max="18" width="10.85546875" style="235" customWidth="1"/>
    <col min="19" max="19" width="13.85546875" style="5" customWidth="1"/>
    <col min="20" max="20" width="10.7109375" style="5" customWidth="1"/>
    <col min="21" max="22" width="12.85546875" style="5" customWidth="1"/>
    <col min="23" max="23" width="13.85546875" style="5" customWidth="1"/>
    <col min="24" max="24" width="13" style="5" customWidth="1"/>
    <col min="25" max="25" width="10.7109375" style="5" customWidth="1"/>
    <col min="26" max="26" width="10.42578125" style="5" customWidth="1"/>
    <col min="27" max="27" width="12.7109375" style="5" customWidth="1"/>
    <col min="28" max="28" width="13.140625" style="5" customWidth="1"/>
    <col min="29" max="29" width="11.85546875" style="5" customWidth="1"/>
    <col min="30" max="30" width="13.28515625" customWidth="1"/>
    <col min="31" max="31" width="13" bestFit="1" customWidth="1"/>
    <col min="32" max="33" width="12.140625" bestFit="1" customWidth="1"/>
    <col min="34" max="34" width="12.7109375" bestFit="1" customWidth="1"/>
    <col min="35" max="35" width="12" customWidth="1"/>
    <col min="36" max="36" width="11" customWidth="1"/>
    <col min="37" max="37" width="29.42578125" customWidth="1"/>
    <col min="38" max="38" width="38.85546875" customWidth="1"/>
    <col min="40" max="40" width="20.28515625" customWidth="1"/>
  </cols>
  <sheetData>
    <row r="1" spans="1:39" ht="31.5" x14ac:dyDescent="0.25">
      <c r="D1" s="787" t="s">
        <v>0</v>
      </c>
    </row>
    <row r="4" spans="1:39" ht="15.75" hidden="1" thickBot="1" x14ac:dyDescent="0.3">
      <c r="B4" s="555">
        <v>1</v>
      </c>
      <c r="C4" s="556">
        <v>2</v>
      </c>
      <c r="D4" s="556">
        <v>3</v>
      </c>
      <c r="E4" s="556">
        <v>4</v>
      </c>
      <c r="F4" s="556">
        <v>5</v>
      </c>
      <c r="G4" s="556">
        <v>6</v>
      </c>
      <c r="H4" s="556">
        <v>7</v>
      </c>
      <c r="I4" s="556">
        <v>8</v>
      </c>
      <c r="J4" s="556">
        <v>9</v>
      </c>
      <c r="K4" s="556">
        <v>10</v>
      </c>
      <c r="L4" s="556">
        <v>11</v>
      </c>
      <c r="M4" s="556">
        <v>12</v>
      </c>
      <c r="N4" s="556">
        <v>13</v>
      </c>
      <c r="O4" s="556">
        <v>14</v>
      </c>
      <c r="P4" s="556">
        <v>15</v>
      </c>
      <c r="Q4" s="556">
        <v>16</v>
      </c>
      <c r="R4" s="556">
        <v>17</v>
      </c>
      <c r="S4" s="556">
        <v>18</v>
      </c>
      <c r="T4" s="556">
        <v>19</v>
      </c>
      <c r="U4" s="556">
        <v>20</v>
      </c>
      <c r="V4" s="556">
        <v>21</v>
      </c>
      <c r="W4" s="556">
        <v>22</v>
      </c>
      <c r="X4" s="556">
        <v>23</v>
      </c>
      <c r="Y4" s="556">
        <v>24</v>
      </c>
      <c r="Z4" s="556">
        <v>25</v>
      </c>
      <c r="AA4" s="556">
        <v>26</v>
      </c>
      <c r="AB4" s="556">
        <v>27</v>
      </c>
      <c r="AC4" s="556">
        <v>28</v>
      </c>
      <c r="AD4" s="556">
        <v>29</v>
      </c>
      <c r="AE4" s="556">
        <v>30</v>
      </c>
      <c r="AF4" s="556">
        <v>31</v>
      </c>
      <c r="AG4" s="556">
        <v>32</v>
      </c>
      <c r="AH4" s="556">
        <v>33</v>
      </c>
      <c r="AI4" s="556">
        <v>34</v>
      </c>
      <c r="AJ4" s="556">
        <v>35</v>
      </c>
      <c r="AK4" s="556">
        <v>36</v>
      </c>
      <c r="AL4" s="556">
        <v>37</v>
      </c>
      <c r="AM4" s="557">
        <v>38</v>
      </c>
    </row>
    <row r="5" spans="1:39" s="554" customFormat="1" x14ac:dyDescent="0.25">
      <c r="B5" s="553"/>
      <c r="C5" s="553"/>
      <c r="D5" s="553"/>
      <c r="E5" s="553"/>
      <c r="F5" s="553"/>
      <c r="G5" s="553"/>
      <c r="H5" s="553"/>
      <c r="I5" s="553"/>
      <c r="J5" s="553"/>
      <c r="K5" s="553"/>
      <c r="L5" s="553"/>
      <c r="M5" s="553"/>
      <c r="N5" s="553"/>
      <c r="O5" s="553"/>
      <c r="P5" s="553"/>
      <c r="Q5" s="553"/>
      <c r="R5" s="553"/>
      <c r="S5" s="553"/>
      <c r="T5" s="553"/>
      <c r="U5" s="553"/>
      <c r="V5" s="553"/>
      <c r="W5" s="553"/>
      <c r="X5" s="553"/>
      <c r="Y5" s="553"/>
      <c r="Z5" s="553"/>
      <c r="AA5" s="553"/>
      <c r="AB5" s="553"/>
      <c r="AC5" s="553"/>
      <c r="AD5" s="553"/>
      <c r="AE5" s="553"/>
      <c r="AF5" s="553"/>
      <c r="AG5" s="553"/>
      <c r="AH5" s="553"/>
      <c r="AI5" s="553"/>
      <c r="AJ5" s="553"/>
      <c r="AK5" s="553"/>
      <c r="AL5" s="553"/>
      <c r="AM5" s="553"/>
    </row>
    <row r="6" spans="1:39" ht="32.25" thickBot="1" x14ac:dyDescent="0.3">
      <c r="G6" s="1"/>
      <c r="H6" s="1"/>
      <c r="I6" s="1"/>
      <c r="J6" s="1"/>
      <c r="K6" s="1"/>
      <c r="L6" s="6"/>
      <c r="M6" s="6"/>
      <c r="N6" s="798" t="s">
        <v>104</v>
      </c>
      <c r="O6" s="799"/>
      <c r="P6" s="800"/>
      <c r="Q6" s="801" t="s">
        <v>106</v>
      </c>
      <c r="R6" s="801"/>
      <c r="S6" s="801"/>
      <c r="T6" s="801"/>
      <c r="U6" s="801"/>
      <c r="V6" s="801"/>
      <c r="W6" s="798" t="s">
        <v>108</v>
      </c>
      <c r="X6" s="799"/>
      <c r="Y6" s="799"/>
      <c r="Z6" s="799"/>
      <c r="AA6" s="799"/>
      <c r="AB6" s="799"/>
      <c r="AC6" s="800"/>
      <c r="AD6" s="798" t="s">
        <v>372</v>
      </c>
      <c r="AE6" s="799"/>
      <c r="AF6" s="799"/>
      <c r="AG6" s="799"/>
      <c r="AH6" s="799"/>
      <c r="AI6" s="799"/>
      <c r="AJ6" s="800"/>
    </row>
    <row r="7" spans="1:39" ht="60.75" thickBot="1" x14ac:dyDescent="0.3">
      <c r="A7" t="s">
        <v>308</v>
      </c>
      <c r="B7" s="474" t="s">
        <v>83</v>
      </c>
      <c r="C7" s="193" t="s">
        <v>259</v>
      </c>
      <c r="D7" s="194" t="s">
        <v>100</v>
      </c>
      <c r="E7" s="194" t="s">
        <v>122</v>
      </c>
      <c r="F7" s="194" t="s">
        <v>213</v>
      </c>
      <c r="G7" s="194" t="s">
        <v>83</v>
      </c>
      <c r="H7" s="194" t="s">
        <v>174</v>
      </c>
      <c r="I7" s="194" t="s">
        <v>176</v>
      </c>
      <c r="J7" s="194" t="s">
        <v>173</v>
      </c>
      <c r="K7" s="194" t="s">
        <v>172</v>
      </c>
      <c r="L7" s="195" t="s">
        <v>1</v>
      </c>
      <c r="M7" s="199" t="s">
        <v>215</v>
      </c>
      <c r="N7" s="208" t="s">
        <v>88</v>
      </c>
      <c r="O7" s="192" t="s">
        <v>80</v>
      </c>
      <c r="P7" s="209" t="s">
        <v>103</v>
      </c>
      <c r="Q7" s="69" t="s">
        <v>89</v>
      </c>
      <c r="R7" s="69" t="s">
        <v>139</v>
      </c>
      <c r="S7" s="67" t="s">
        <v>81</v>
      </c>
      <c r="T7" s="24" t="s">
        <v>141</v>
      </c>
      <c r="U7" s="24" t="s">
        <v>105</v>
      </c>
      <c r="V7" s="276" t="s">
        <v>153</v>
      </c>
      <c r="W7" s="283" t="s">
        <v>90</v>
      </c>
      <c r="X7" s="284" t="s">
        <v>140</v>
      </c>
      <c r="Y7" s="284" t="s">
        <v>82</v>
      </c>
      <c r="Z7" s="284" t="s">
        <v>142</v>
      </c>
      <c r="AA7" s="284" t="s">
        <v>107</v>
      </c>
      <c r="AB7" s="284" t="s">
        <v>153</v>
      </c>
      <c r="AC7" s="285" t="s">
        <v>114</v>
      </c>
      <c r="AD7" s="250" t="s">
        <v>143</v>
      </c>
      <c r="AE7" s="24" t="s">
        <v>144</v>
      </c>
      <c r="AF7" s="284" t="s">
        <v>270</v>
      </c>
      <c r="AG7" s="284" t="s">
        <v>271</v>
      </c>
      <c r="AH7" s="284" t="s">
        <v>272</v>
      </c>
      <c r="AI7" s="284" t="s">
        <v>153</v>
      </c>
      <c r="AJ7" s="80" t="s">
        <v>316</v>
      </c>
      <c r="AK7" s="69" t="s">
        <v>102</v>
      </c>
      <c r="AL7" s="105" t="s">
        <v>85</v>
      </c>
      <c r="AM7" s="80"/>
    </row>
    <row r="8" spans="1:39" ht="30" x14ac:dyDescent="0.25">
      <c r="B8" s="576" t="s">
        <v>2</v>
      </c>
      <c r="C8" s="196" t="s">
        <v>110</v>
      </c>
      <c r="D8" s="46" t="s">
        <v>101</v>
      </c>
      <c r="E8" s="59" t="s">
        <v>123</v>
      </c>
      <c r="F8" s="46" t="s">
        <v>211</v>
      </c>
      <c r="G8" s="4" t="s">
        <v>2</v>
      </c>
      <c r="H8" s="46" t="s">
        <v>185</v>
      </c>
      <c r="I8" s="46" t="s">
        <v>177</v>
      </c>
      <c r="J8" s="788" t="s">
        <v>184</v>
      </c>
      <c r="K8" s="59" t="s">
        <v>186</v>
      </c>
      <c r="L8" s="32">
        <v>0.83</v>
      </c>
      <c r="M8" s="168">
        <v>0.77300000000000002</v>
      </c>
      <c r="N8" s="47">
        <v>0.79600000000000004</v>
      </c>
      <c r="O8" s="32">
        <v>0.77810000000000001</v>
      </c>
      <c r="P8" s="123">
        <f>+(O8-M8)/(N8-M8)</f>
        <v>0.22173913043478213</v>
      </c>
      <c r="Q8" s="157">
        <v>0.80400000000000005</v>
      </c>
      <c r="R8" s="229">
        <v>0.80400000000000005</v>
      </c>
      <c r="S8" s="110">
        <v>0.79479999999999995</v>
      </c>
      <c r="T8" s="110">
        <v>0.79479999999999995</v>
      </c>
      <c r="U8" s="30">
        <f>+(S8-M8)/(Q8-M8)</f>
        <v>0.70322580645161004</v>
      </c>
      <c r="V8" s="30">
        <f>+(T8-M8)/(L8-M8)</f>
        <v>0.38245614035087638</v>
      </c>
      <c r="W8" s="440">
        <v>0.81899999999999995</v>
      </c>
      <c r="X8" s="278">
        <v>0.81899999999999995</v>
      </c>
      <c r="Y8" s="308">
        <v>0.80110000000000003</v>
      </c>
      <c r="Z8" s="280">
        <v>0.80110000000000003</v>
      </c>
      <c r="AA8" s="281">
        <f>+(Y8-M8)/(W8-M8)</f>
        <v>0.61086956521739255</v>
      </c>
      <c r="AB8" s="281">
        <f>+(Z8-M8)/(L8-M8)</f>
        <v>0.49298245614035163</v>
      </c>
      <c r="AC8" s="282" t="s">
        <v>115</v>
      </c>
      <c r="AD8" s="251">
        <v>0.83</v>
      </c>
      <c r="AE8" s="111">
        <f>+L8</f>
        <v>0.83</v>
      </c>
      <c r="AF8" s="444">
        <f>+Y8</f>
        <v>0.80110000000000003</v>
      </c>
      <c r="AG8" s="444">
        <f>+Z8</f>
        <v>0.80110000000000003</v>
      </c>
      <c r="AH8" s="462">
        <f>+(AF8-M8)/(AD8-M8)</f>
        <v>0.49298245614035163</v>
      </c>
      <c r="AI8" s="281">
        <f>+(AG8-M8)/(AE8-M8)</f>
        <v>0.49298245614035163</v>
      </c>
      <c r="AJ8" s="169">
        <f>+AH8</f>
        <v>0.49298245614035163</v>
      </c>
      <c r="AK8" s="70" t="s">
        <v>375</v>
      </c>
      <c r="AL8" s="269"/>
      <c r="AM8" s="246"/>
    </row>
    <row r="9" spans="1:39" ht="30" x14ac:dyDescent="0.25">
      <c r="B9" s="577" t="s">
        <v>3</v>
      </c>
      <c r="C9" s="196" t="s">
        <v>110</v>
      </c>
      <c r="D9" s="46" t="s">
        <v>101</v>
      </c>
      <c r="E9" s="59" t="s">
        <v>123</v>
      </c>
      <c r="F9" s="46" t="s">
        <v>211</v>
      </c>
      <c r="G9" s="4" t="s">
        <v>3</v>
      </c>
      <c r="H9" s="46" t="s">
        <v>185</v>
      </c>
      <c r="I9" s="46" t="s">
        <v>177</v>
      </c>
      <c r="J9" s="788" t="s">
        <v>184</v>
      </c>
      <c r="K9" s="59" t="s">
        <v>186</v>
      </c>
      <c r="L9" s="32">
        <v>0.45</v>
      </c>
      <c r="M9" s="168">
        <v>0.372</v>
      </c>
      <c r="N9" s="47">
        <v>0.39219999999999999</v>
      </c>
      <c r="O9" s="32">
        <v>0.39700000000000002</v>
      </c>
      <c r="P9" s="123">
        <f t="shared" ref="P9" si="0">+(O9-M9)/(N9-M9)</f>
        <v>1.2376237623762389</v>
      </c>
      <c r="Q9" s="158">
        <v>0.41149999999999998</v>
      </c>
      <c r="R9" s="230">
        <v>0.41149999999999998</v>
      </c>
      <c r="S9" s="32">
        <v>0.45700000000000002</v>
      </c>
      <c r="T9" s="32">
        <v>0.45700000000000002</v>
      </c>
      <c r="U9" s="30">
        <f t="shared" ref="U9" si="1">+(S9-M9)/(Q9-M9)</f>
        <v>2.1518987341772169</v>
      </c>
      <c r="V9" s="30">
        <f>+(T9-M9)/(L9-M9)</f>
        <v>1.0897435897435899</v>
      </c>
      <c r="W9" s="158">
        <v>0.43009999999999998</v>
      </c>
      <c r="X9" s="33">
        <v>0.43009999999999998</v>
      </c>
      <c r="Y9" s="570">
        <f>+S9</f>
        <v>0.45700000000000002</v>
      </c>
      <c r="Z9" s="464">
        <f>+Y9</f>
        <v>0.45700000000000002</v>
      </c>
      <c r="AA9" s="281">
        <f>+(Y9-M9)/(W9-M9)</f>
        <v>1.462994836488813</v>
      </c>
      <c r="AB9" s="281">
        <f>+(Z9-M9)/(L9-M9)</f>
        <v>1.0897435897435899</v>
      </c>
      <c r="AC9" s="123" t="s">
        <v>371</v>
      </c>
      <c r="AD9" s="252">
        <v>0.45</v>
      </c>
      <c r="AE9" s="33">
        <f>+L9</f>
        <v>0.45</v>
      </c>
      <c r="AF9" s="370">
        <f>+Y9</f>
        <v>0.45700000000000002</v>
      </c>
      <c r="AG9" s="370">
        <f>+AF9</f>
        <v>0.45700000000000002</v>
      </c>
      <c r="AH9" s="462">
        <f>+(AF9-M9)/(AD9-M9)</f>
        <v>1.0897435897435899</v>
      </c>
      <c r="AI9" s="281">
        <f>+(AG9-M9)/(AE9-M9)</f>
        <v>1.0897435897435899</v>
      </c>
      <c r="AJ9" s="168">
        <f>+AH9</f>
        <v>1.0897435897435899</v>
      </c>
      <c r="AK9" s="70" t="s">
        <v>438</v>
      </c>
      <c r="AL9" s="270"/>
      <c r="AM9" s="168"/>
    </row>
    <row r="10" spans="1:39" ht="60" x14ac:dyDescent="0.25">
      <c r="B10" s="576" t="s">
        <v>4</v>
      </c>
      <c r="C10" s="196" t="s">
        <v>110</v>
      </c>
      <c r="D10" s="46" t="s">
        <v>101</v>
      </c>
      <c r="E10" s="59" t="s">
        <v>123</v>
      </c>
      <c r="F10" s="46" t="s">
        <v>211</v>
      </c>
      <c r="G10" s="4" t="s">
        <v>4</v>
      </c>
      <c r="H10" s="46" t="s">
        <v>185</v>
      </c>
      <c r="I10" s="46" t="s">
        <v>177</v>
      </c>
      <c r="J10" s="788" t="s">
        <v>190</v>
      </c>
      <c r="K10" s="59" t="s">
        <v>183</v>
      </c>
      <c r="L10" s="32">
        <v>0.93</v>
      </c>
      <c r="M10" s="168">
        <v>0.871</v>
      </c>
      <c r="N10" s="47">
        <v>0.8901</v>
      </c>
      <c r="O10" s="32">
        <v>0.86770000000000003</v>
      </c>
      <c r="P10" s="123">
        <f>+O10/N10</f>
        <v>0.97483428828221552</v>
      </c>
      <c r="Q10" s="158">
        <v>0.91090000000000004</v>
      </c>
      <c r="R10" s="230">
        <v>0.91090000000000004</v>
      </c>
      <c r="S10" s="32">
        <v>0.86699999999999999</v>
      </c>
      <c r="T10" s="31">
        <v>0.86699999999999999</v>
      </c>
      <c r="U10" s="30">
        <f>+S10/Q10</f>
        <v>0.95180590624656924</v>
      </c>
      <c r="V10" s="30">
        <f>+T10/R10</f>
        <v>0.95180590624656924</v>
      </c>
      <c r="W10" s="158">
        <v>0.91681999999999997</v>
      </c>
      <c r="X10" s="34">
        <v>0.91681999999999997</v>
      </c>
      <c r="Y10" s="308">
        <v>0.86040000000000005</v>
      </c>
      <c r="Z10" s="60">
        <v>0.86040000000000005</v>
      </c>
      <c r="AA10" s="281">
        <f>+Y10/W10</f>
        <v>0.938461202853341</v>
      </c>
      <c r="AB10" s="30">
        <f>+Z10/X10</f>
        <v>0.938461202853341</v>
      </c>
      <c r="AC10" s="123" t="s">
        <v>115</v>
      </c>
      <c r="AD10" s="252">
        <v>0.93</v>
      </c>
      <c r="AE10" s="33">
        <f>+L10</f>
        <v>0.93</v>
      </c>
      <c r="AF10" s="370">
        <f>+Y10</f>
        <v>0.86040000000000005</v>
      </c>
      <c r="AG10" s="370">
        <f>+AF10</f>
        <v>0.86040000000000005</v>
      </c>
      <c r="AH10" s="462">
        <f>+AF10/AD10</f>
        <v>0.92516129032258065</v>
      </c>
      <c r="AI10" s="30">
        <f>+AG10/AE10</f>
        <v>0.92516129032258065</v>
      </c>
      <c r="AJ10" s="168">
        <f>+AH10</f>
        <v>0.92516129032258065</v>
      </c>
      <c r="AK10" s="70" t="s">
        <v>434</v>
      </c>
      <c r="AL10" s="270"/>
      <c r="AM10" s="168"/>
    </row>
    <row r="11" spans="1:39" ht="60" x14ac:dyDescent="0.25">
      <c r="B11" s="576" t="s">
        <v>5</v>
      </c>
      <c r="C11" s="197" t="s">
        <v>110</v>
      </c>
      <c r="D11" s="46" t="s">
        <v>101</v>
      </c>
      <c r="E11" s="59" t="s">
        <v>123</v>
      </c>
      <c r="F11" s="46" t="s">
        <v>211</v>
      </c>
      <c r="G11" s="4" t="s">
        <v>5</v>
      </c>
      <c r="H11" s="46" t="s">
        <v>185</v>
      </c>
      <c r="I11" s="46" t="s">
        <v>177</v>
      </c>
      <c r="J11" s="788" t="s">
        <v>187</v>
      </c>
      <c r="K11" s="59" t="s">
        <v>183</v>
      </c>
      <c r="L11" s="13">
        <v>2.5000000000000001E-2</v>
      </c>
      <c r="M11" s="168">
        <v>3.1E-2</v>
      </c>
      <c r="N11" s="50">
        <v>3.0300000000000001E-2</v>
      </c>
      <c r="O11" s="13">
        <v>3.2599999999999997E-2</v>
      </c>
      <c r="P11" s="123">
        <f>(M11-O11)/(M11-N11)</f>
        <v>-2.2857142857142843</v>
      </c>
      <c r="Q11" s="158">
        <v>2.9499999999999998E-2</v>
      </c>
      <c r="R11" s="150">
        <v>2.9499999999999998E-2</v>
      </c>
      <c r="S11" s="32">
        <v>3.7199999999999997E-2</v>
      </c>
      <c r="T11" s="14">
        <v>3.7199999999999997E-2</v>
      </c>
      <c r="U11" s="437">
        <f>+(M11-S11)/(M11-Q11)</f>
        <v>-4.1333333333333275</v>
      </c>
      <c r="V11" s="442">
        <f>+(M11-T11)/(M11-L11)</f>
        <v>-1.0333333333333332</v>
      </c>
      <c r="W11" s="51">
        <v>2.8799999999999999E-2</v>
      </c>
      <c r="X11" s="83">
        <v>2.8799999999999999E-2</v>
      </c>
      <c r="Y11" s="308">
        <v>3.0800000000000001E-2</v>
      </c>
      <c r="Z11" s="60">
        <v>3.0800000000000001E-2</v>
      </c>
      <c r="AA11" s="30">
        <f>+(M11-Y11)/(M11-W11)</f>
        <v>9.0909090909090329E-2</v>
      </c>
      <c r="AB11" s="30">
        <f>(M11-Z11)/(M11-X11)</f>
        <v>9.0909090909090329E-2</v>
      </c>
      <c r="AC11" s="123" t="s">
        <v>115</v>
      </c>
      <c r="AD11" s="253">
        <v>2.5000000000000001E-2</v>
      </c>
      <c r="AE11" s="26">
        <f>+L11</f>
        <v>2.5000000000000001E-2</v>
      </c>
      <c r="AF11" s="445">
        <f>+Y11</f>
        <v>3.0800000000000001E-2</v>
      </c>
      <c r="AG11" s="445">
        <f>+Z11</f>
        <v>3.0800000000000001E-2</v>
      </c>
      <c r="AH11" s="463">
        <f>(M11-AF11)/(M11-AD11)</f>
        <v>3.3333333333333139E-2</v>
      </c>
      <c r="AI11" s="30">
        <f>+(M11-AG11)/(M11-AE11)</f>
        <v>3.3333333333333139E-2</v>
      </c>
      <c r="AJ11" s="168">
        <f>+AH11</f>
        <v>3.3333333333333139E-2</v>
      </c>
      <c r="AK11" s="70" t="s">
        <v>437</v>
      </c>
      <c r="AL11" s="270"/>
      <c r="AM11" s="167"/>
    </row>
    <row r="12" spans="1:39" ht="45" x14ac:dyDescent="0.25">
      <c r="B12" s="576" t="s">
        <v>156</v>
      </c>
      <c r="C12" s="196" t="s">
        <v>110</v>
      </c>
      <c r="D12" s="46" t="s">
        <v>101</v>
      </c>
      <c r="E12" s="59" t="s">
        <v>123</v>
      </c>
      <c r="F12" s="46" t="s">
        <v>212</v>
      </c>
      <c r="G12" s="455" t="s">
        <v>156</v>
      </c>
      <c r="H12" s="46" t="s">
        <v>185</v>
      </c>
      <c r="I12" s="46" t="s">
        <v>177</v>
      </c>
      <c r="J12" s="788" t="s">
        <v>184</v>
      </c>
      <c r="K12" s="59" t="s">
        <v>186</v>
      </c>
      <c r="L12" s="13">
        <v>0.69</v>
      </c>
      <c r="M12" s="168">
        <v>0.621</v>
      </c>
      <c r="N12" s="50">
        <v>0.63278000000000001</v>
      </c>
      <c r="O12" s="14">
        <v>0.63139999999999996</v>
      </c>
      <c r="P12" s="123">
        <f>+(O12-M12)/(N12-M12)</f>
        <v>0.88285229202036963</v>
      </c>
      <c r="Q12" s="158">
        <v>0.65627000000000002</v>
      </c>
      <c r="R12" s="231">
        <v>0.65629999999999999</v>
      </c>
      <c r="S12" s="32">
        <v>0.64980000000000004</v>
      </c>
      <c r="T12" s="14">
        <v>0.64980000000000004</v>
      </c>
      <c r="U12" s="30">
        <f>+(S12-M12)/(Q12-M12)</f>
        <v>0.81655798128721369</v>
      </c>
      <c r="V12" s="30">
        <f>+(T12-M12)/(L12-M12)</f>
        <v>0.41739130434782706</v>
      </c>
      <c r="W12" s="158">
        <v>0.67976000000000003</v>
      </c>
      <c r="X12" s="83">
        <v>0.67976000000000003</v>
      </c>
      <c r="Y12" s="308">
        <v>0.66759999999999997</v>
      </c>
      <c r="Z12" s="60">
        <f>+Y12</f>
        <v>0.66759999999999997</v>
      </c>
      <c r="AA12" s="281">
        <f>+(Y12-M12)/(W12-M12)</f>
        <v>0.79305650102110192</v>
      </c>
      <c r="AB12" s="281">
        <f>+(Z12-M12)/(L12-M12)</f>
        <v>0.67536231884057984</v>
      </c>
      <c r="AC12" s="123" t="s">
        <v>115</v>
      </c>
      <c r="AD12" s="252">
        <v>0.69</v>
      </c>
      <c r="AE12" s="26">
        <f>+L12</f>
        <v>0.69</v>
      </c>
      <c r="AF12" s="445">
        <f>+Y12</f>
        <v>0.66759999999999997</v>
      </c>
      <c r="AG12" s="445">
        <f>+AF12</f>
        <v>0.66759999999999997</v>
      </c>
      <c r="AH12" s="462">
        <f>+(AF12-M12)/(AD12-M12)</f>
        <v>0.67536231884057984</v>
      </c>
      <c r="AI12" s="281">
        <f>+(AG12-M12)/(AE12-M12)</f>
        <v>0.67536231884057984</v>
      </c>
      <c r="AJ12" s="168">
        <f t="shared" ref="AJ12" si="2">+AH12</f>
        <v>0.67536231884057984</v>
      </c>
      <c r="AK12" s="70" t="s">
        <v>437</v>
      </c>
      <c r="AL12" s="270"/>
      <c r="AM12" s="167"/>
    </row>
    <row r="13" spans="1:39" ht="75" x14ac:dyDescent="0.25">
      <c r="B13" s="576" t="s">
        <v>7</v>
      </c>
      <c r="C13" s="196" t="s">
        <v>110</v>
      </c>
      <c r="D13" s="46" t="s">
        <v>101</v>
      </c>
      <c r="E13" s="59" t="s">
        <v>124</v>
      </c>
      <c r="F13" s="46" t="s">
        <v>211</v>
      </c>
      <c r="G13" s="4" t="s">
        <v>7</v>
      </c>
      <c r="H13" s="46" t="s">
        <v>175</v>
      </c>
      <c r="I13" s="46" t="s">
        <v>177</v>
      </c>
      <c r="J13" s="788" t="s">
        <v>188</v>
      </c>
      <c r="K13" s="59" t="s">
        <v>189</v>
      </c>
      <c r="L13" s="29">
        <v>1000</v>
      </c>
      <c r="M13" s="200">
        <v>168</v>
      </c>
      <c r="N13" s="79">
        <v>150</v>
      </c>
      <c r="O13" s="17">
        <v>486</v>
      </c>
      <c r="P13" s="123">
        <f>+O13/N13</f>
        <v>3.24</v>
      </c>
      <c r="Q13" s="180">
        <v>300</v>
      </c>
      <c r="R13" s="232">
        <f>+N13+Q13</f>
        <v>450</v>
      </c>
      <c r="S13" s="18">
        <v>248</v>
      </c>
      <c r="T13" s="18">
        <f>+O13+S13</f>
        <v>734</v>
      </c>
      <c r="U13" s="438">
        <f>+S13/Q13</f>
        <v>0.82666666666666666</v>
      </c>
      <c r="V13" s="442">
        <f>+T13/$R13</f>
        <v>1.6311111111111112</v>
      </c>
      <c r="W13" s="56">
        <f>350</f>
        <v>350</v>
      </c>
      <c r="X13" s="36">
        <f>+R13+W13</f>
        <v>800</v>
      </c>
      <c r="Y13" s="460">
        <v>62</v>
      </c>
      <c r="Z13" s="63">
        <f>+T13+Y13</f>
        <v>796</v>
      </c>
      <c r="AA13" s="30">
        <f>+Y13/W13</f>
        <v>0.17714285714285713</v>
      </c>
      <c r="AB13" s="30">
        <f>+Z13/$X13</f>
        <v>0.995</v>
      </c>
      <c r="AC13" s="126" t="s">
        <v>115</v>
      </c>
      <c r="AD13" s="254">
        <v>200</v>
      </c>
      <c r="AE13" s="35">
        <f>+X13+AD13</f>
        <v>1000</v>
      </c>
      <c r="AF13" s="165">
        <v>194</v>
      </c>
      <c r="AG13" s="165">
        <f>+Z13+AF13</f>
        <v>990</v>
      </c>
      <c r="AH13" s="30">
        <f t="shared" ref="AH13" si="3">+AF13/AD13</f>
        <v>0.97</v>
      </c>
      <c r="AI13" s="463">
        <f>+AG13/AE13</f>
        <v>0.99</v>
      </c>
      <c r="AJ13" s="168">
        <f>+AI13</f>
        <v>0.99</v>
      </c>
      <c r="AK13" s="70" t="s">
        <v>447</v>
      </c>
      <c r="AL13" s="270"/>
      <c r="AM13" s="165"/>
    </row>
    <row r="14" spans="1:39" ht="105" x14ac:dyDescent="0.25">
      <c r="B14" s="577" t="s">
        <v>8</v>
      </c>
      <c r="C14" s="196" t="s">
        <v>110</v>
      </c>
      <c r="D14" s="46" t="s">
        <v>101</v>
      </c>
      <c r="E14" s="59" t="s">
        <v>125</v>
      </c>
      <c r="F14" s="46" t="s">
        <v>211</v>
      </c>
      <c r="G14" s="4" t="s">
        <v>8</v>
      </c>
      <c r="H14" s="46" t="s">
        <v>185</v>
      </c>
      <c r="I14" s="46" t="s">
        <v>177</v>
      </c>
      <c r="J14" s="788" t="s">
        <v>190</v>
      </c>
      <c r="K14" s="59" t="s">
        <v>183</v>
      </c>
      <c r="L14" s="13">
        <v>0.45</v>
      </c>
      <c r="M14" s="168">
        <v>0.371</v>
      </c>
      <c r="N14" s="50">
        <v>0.38854</v>
      </c>
      <c r="O14" s="14">
        <v>0.42159999999999997</v>
      </c>
      <c r="P14" s="123">
        <f>+O14/N14</f>
        <v>1.0850877644515364</v>
      </c>
      <c r="Q14" s="158">
        <v>0.40622999999999998</v>
      </c>
      <c r="R14" s="231">
        <v>0.40620000000000001</v>
      </c>
      <c r="S14" s="32">
        <v>0.38200000000000001</v>
      </c>
      <c r="T14" s="14">
        <v>0.38200000000000001</v>
      </c>
      <c r="U14" s="32">
        <f>+S14/Q14</f>
        <v>0.94035398665780479</v>
      </c>
      <c r="V14" s="30">
        <f>+T14/R14</f>
        <v>0.94042343673067452</v>
      </c>
      <c r="W14" s="158">
        <v>0.42392000000000002</v>
      </c>
      <c r="X14" s="83">
        <v>0.42392000000000002</v>
      </c>
      <c r="Y14" s="311">
        <v>0.35499999999999998</v>
      </c>
      <c r="Z14" s="60">
        <f>+Y14</f>
        <v>0.35499999999999998</v>
      </c>
      <c r="AA14" s="699">
        <f>+Y14/W14</f>
        <v>0.83742215512360818</v>
      </c>
      <c r="AB14" s="30">
        <f>+Z14/X14</f>
        <v>0.83742215512360818</v>
      </c>
      <c r="AC14" s="123" t="s">
        <v>115</v>
      </c>
      <c r="AD14" s="252">
        <v>0.45</v>
      </c>
      <c r="AE14" s="26">
        <f t="shared" ref="AE14:AE33" si="4">+L14</f>
        <v>0.45</v>
      </c>
      <c r="AF14" s="445">
        <v>0.32129999999999997</v>
      </c>
      <c r="AG14" s="445">
        <f>+AF14</f>
        <v>0.32129999999999997</v>
      </c>
      <c r="AH14" s="462">
        <f>+AF14/AD14</f>
        <v>0.71399999999999997</v>
      </c>
      <c r="AI14" s="30">
        <f>+AG14/AE14</f>
        <v>0.71399999999999997</v>
      </c>
      <c r="AJ14" s="168">
        <f t="shared" ref="AJ14:AJ16" si="5">+AI14</f>
        <v>0.71399999999999997</v>
      </c>
      <c r="AK14" s="70" t="s">
        <v>449</v>
      </c>
      <c r="AL14" s="270"/>
      <c r="AM14" s="167"/>
    </row>
    <row r="15" spans="1:39" ht="255" x14ac:dyDescent="0.25">
      <c r="A15" s="446" t="s">
        <v>314</v>
      </c>
      <c r="B15" s="578" t="s">
        <v>9</v>
      </c>
      <c r="C15" s="497" t="s">
        <v>110</v>
      </c>
      <c r="D15" s="46" t="s">
        <v>101</v>
      </c>
      <c r="E15" s="59" t="s">
        <v>125</v>
      </c>
      <c r="F15" s="46" t="s">
        <v>212</v>
      </c>
      <c r="G15" s="455" t="s">
        <v>9</v>
      </c>
      <c r="H15" s="46" t="s">
        <v>185</v>
      </c>
      <c r="I15" s="46" t="s">
        <v>177</v>
      </c>
      <c r="J15" s="788" t="s">
        <v>184</v>
      </c>
      <c r="K15" s="59" t="s">
        <v>183</v>
      </c>
      <c r="L15" s="13">
        <v>0.42</v>
      </c>
      <c r="M15" s="168">
        <v>0.35699999999999998</v>
      </c>
      <c r="N15" s="50">
        <v>0.37385000000000002</v>
      </c>
      <c r="O15" s="14">
        <v>0.42659999999999998</v>
      </c>
      <c r="P15" s="249">
        <f>+O15/N15</f>
        <v>1.1410993714056439</v>
      </c>
      <c r="Q15" s="158">
        <v>0.39087</v>
      </c>
      <c r="R15" s="231">
        <v>0.39090000000000003</v>
      </c>
      <c r="S15" s="32">
        <v>0.39400000000000002</v>
      </c>
      <c r="T15" s="14">
        <v>0.39400000000000002</v>
      </c>
      <c r="U15" s="32">
        <f>+S15/Q15</f>
        <v>1.0080077775219383</v>
      </c>
      <c r="V15" s="30">
        <f>+T15/R15</f>
        <v>1.0079304169864416</v>
      </c>
      <c r="W15" s="158">
        <v>0.40788999999999997</v>
      </c>
      <c r="X15" s="83">
        <v>0.40788999999999997</v>
      </c>
      <c r="Y15" s="311">
        <v>0.36399999999999999</v>
      </c>
      <c r="Z15" s="60">
        <f>+Y15</f>
        <v>0.36399999999999999</v>
      </c>
      <c r="AA15" s="699">
        <f>+Y15/W15</f>
        <v>0.89239746009953669</v>
      </c>
      <c r="AB15" s="30">
        <f>+Z15/X15</f>
        <v>0.89239746009953669</v>
      </c>
      <c r="AC15" s="123" t="s">
        <v>115</v>
      </c>
      <c r="AD15" s="252">
        <v>0.42</v>
      </c>
      <c r="AE15" s="26">
        <f t="shared" si="4"/>
        <v>0.42</v>
      </c>
      <c r="AF15" s="445">
        <f>+Y15</f>
        <v>0.36399999999999999</v>
      </c>
      <c r="AG15" s="445">
        <f>+AF15</f>
        <v>0.36399999999999999</v>
      </c>
      <c r="AH15" s="278">
        <f>+AF15/AD15</f>
        <v>0.8666666666666667</v>
      </c>
      <c r="AI15" s="30">
        <f>+AG15/AE15</f>
        <v>0.8666666666666667</v>
      </c>
      <c r="AJ15" s="168">
        <f t="shared" si="5"/>
        <v>0.8666666666666667</v>
      </c>
      <c r="AK15" s="70" t="s">
        <v>449</v>
      </c>
      <c r="AL15" s="270"/>
      <c r="AM15" s="167"/>
    </row>
    <row r="16" spans="1:39" ht="45" x14ac:dyDescent="0.25">
      <c r="A16" s="446"/>
      <c r="B16" s="579" t="s">
        <v>10</v>
      </c>
      <c r="C16" s="369" t="s">
        <v>110</v>
      </c>
      <c r="D16" s="46" t="s">
        <v>101</v>
      </c>
      <c r="E16" s="59" t="s">
        <v>126</v>
      </c>
      <c r="F16" s="46" t="s">
        <v>212</v>
      </c>
      <c r="G16" s="790" t="s">
        <v>10</v>
      </c>
      <c r="H16" s="46" t="s">
        <v>185</v>
      </c>
      <c r="I16" s="46" t="s">
        <v>177</v>
      </c>
      <c r="J16" s="788" t="s">
        <v>187</v>
      </c>
      <c r="K16" s="59" t="s">
        <v>186</v>
      </c>
      <c r="L16" s="32">
        <v>5.1700000000000003E-2</v>
      </c>
      <c r="M16" s="168">
        <v>5.8099999999999999E-2</v>
      </c>
      <c r="N16" s="580">
        <v>5.3499999999999999E-2</v>
      </c>
      <c r="O16" s="31">
        <v>5.7500000000000002E-2</v>
      </c>
      <c r="P16" s="123">
        <f>(M16-O16)/(M16-N16)</f>
        <v>0.13043478260869487</v>
      </c>
      <c r="Q16" s="158">
        <v>5.3600000000000002E-2</v>
      </c>
      <c r="R16" s="48">
        <v>5.3600000000000002E-2</v>
      </c>
      <c r="S16" s="32">
        <v>5.3499999999999999E-2</v>
      </c>
      <c r="T16" s="31">
        <v>5.3499999999999999E-2</v>
      </c>
      <c r="U16" s="30">
        <f>+(M16-S16)/(M16-Q16)</f>
        <v>1.0222222222222228</v>
      </c>
      <c r="V16" s="123">
        <f>+(M16-T16)/(M16-L16)</f>
        <v>0.71875000000000044</v>
      </c>
      <c r="W16" s="51">
        <v>5.2499999999999998E-2</v>
      </c>
      <c r="X16" s="34">
        <v>5.2499999999999998E-2</v>
      </c>
      <c r="Y16" s="311">
        <v>5.2400000000000002E-2</v>
      </c>
      <c r="Z16" s="40">
        <v>5.2400000000000002E-2</v>
      </c>
      <c r="AA16" s="30">
        <f>+(M16-Y16)/(M16-W16)</f>
        <v>1.0178571428571421</v>
      </c>
      <c r="AB16" s="30">
        <f>(M16-Z16)/(M16-X16)</f>
        <v>1.0178571428571421</v>
      </c>
      <c r="AC16" s="123" t="s">
        <v>115</v>
      </c>
      <c r="AD16" s="252">
        <v>5.1700000000000003E-2</v>
      </c>
      <c r="AE16" s="33">
        <f t="shared" si="4"/>
        <v>5.1700000000000003E-2</v>
      </c>
      <c r="AF16" s="370">
        <v>5.2400000000000002E-2</v>
      </c>
      <c r="AG16" s="370">
        <v>5.2400000000000002E-2</v>
      </c>
      <c r="AH16" s="463">
        <f>(M16-AF16)/(M16-AD16)</f>
        <v>0.890625</v>
      </c>
      <c r="AI16" s="30">
        <f>+(M16-AG16)/(M16-AE16)</f>
        <v>0.890625</v>
      </c>
      <c r="AJ16" s="168">
        <f t="shared" si="5"/>
        <v>0.890625</v>
      </c>
      <c r="AK16" s="70" t="s">
        <v>437</v>
      </c>
      <c r="AL16" s="270"/>
      <c r="AM16" s="168"/>
    </row>
    <row r="17" spans="1:39" ht="45" x14ac:dyDescent="0.25">
      <c r="A17" s="446"/>
      <c r="B17" s="579" t="s">
        <v>11</v>
      </c>
      <c r="C17" s="369" t="s">
        <v>110</v>
      </c>
      <c r="D17" s="46" t="s">
        <v>101</v>
      </c>
      <c r="E17" s="59" t="s">
        <v>126</v>
      </c>
      <c r="F17" s="46" t="s">
        <v>212</v>
      </c>
      <c r="G17" s="790" t="s">
        <v>11</v>
      </c>
      <c r="H17" s="46" t="s">
        <v>191</v>
      </c>
      <c r="I17" s="46" t="s">
        <v>177</v>
      </c>
      <c r="J17" s="788" t="s">
        <v>190</v>
      </c>
      <c r="K17" s="59" t="s">
        <v>192</v>
      </c>
      <c r="L17" s="29">
        <v>357218</v>
      </c>
      <c r="M17" s="200">
        <v>419082</v>
      </c>
      <c r="N17" s="49">
        <f>121397</f>
        <v>121397</v>
      </c>
      <c r="O17" s="19">
        <v>71577</v>
      </c>
      <c r="P17" s="123">
        <f>+O17/N17</f>
        <v>0.58961094590475882</v>
      </c>
      <c r="Q17" s="161">
        <v>170821</v>
      </c>
      <c r="R17" s="144">
        <f>+N17+Q17</f>
        <v>292218</v>
      </c>
      <c r="S17" s="19">
        <f>85159</f>
        <v>85159</v>
      </c>
      <c r="T17" s="27">
        <f>+O17+S17</f>
        <v>156736</v>
      </c>
      <c r="U17" s="437">
        <f>+S17/Q17</f>
        <v>0.49852769858506857</v>
      </c>
      <c r="V17" s="442">
        <f>+T17/$R17</f>
        <v>0.53636668514602115</v>
      </c>
      <c r="W17" s="56">
        <v>35000</v>
      </c>
      <c r="X17" s="36">
        <f>+R17+W17</f>
        <v>327218</v>
      </c>
      <c r="Y17" s="66">
        <v>52634</v>
      </c>
      <c r="Z17" s="66">
        <f>+T17+Y17</f>
        <v>209370</v>
      </c>
      <c r="AA17" s="30">
        <f>+Y17/W17</f>
        <v>1.5038285714285715</v>
      </c>
      <c r="AB17" s="30">
        <f>+Z17/$X17</f>
        <v>0.63984866358207682</v>
      </c>
      <c r="AC17" s="123" t="s">
        <v>115</v>
      </c>
      <c r="AD17" s="255">
        <v>30000</v>
      </c>
      <c r="AE17" s="35">
        <f>+X17+AD17</f>
        <v>357218</v>
      </c>
      <c r="AF17" s="447">
        <v>38238</v>
      </c>
      <c r="AG17" s="447">
        <f>+Z17</f>
        <v>209370</v>
      </c>
      <c r="AH17" s="30">
        <f>+AF17/AD17</f>
        <v>1.2746</v>
      </c>
      <c r="AI17" s="463">
        <f>+AG17/AE17</f>
        <v>0.58611268189172994</v>
      </c>
      <c r="AJ17" s="168">
        <f>+AI17</f>
        <v>0.58611268189172994</v>
      </c>
      <c r="AK17" s="70" t="s">
        <v>443</v>
      </c>
      <c r="AL17" s="270"/>
      <c r="AM17" s="165"/>
    </row>
    <row r="18" spans="1:39" ht="45" x14ac:dyDescent="0.25">
      <c r="A18" s="446"/>
      <c r="B18" s="579" t="s">
        <v>12</v>
      </c>
      <c r="C18" s="369" t="s">
        <v>110</v>
      </c>
      <c r="D18" s="46" t="s">
        <v>101</v>
      </c>
      <c r="E18" s="59" t="s">
        <v>123</v>
      </c>
      <c r="F18" s="46" t="s">
        <v>211</v>
      </c>
      <c r="G18" s="4" t="s">
        <v>12</v>
      </c>
      <c r="H18" s="46" t="s">
        <v>175</v>
      </c>
      <c r="I18" s="46" t="s">
        <v>177</v>
      </c>
      <c r="J18" s="788" t="s">
        <v>184</v>
      </c>
      <c r="K18" s="59" t="s">
        <v>186</v>
      </c>
      <c r="L18" s="32">
        <v>0.75670000000000004</v>
      </c>
      <c r="M18" s="168">
        <v>0.7147</v>
      </c>
      <c r="N18" s="51">
        <v>0.71479999999999999</v>
      </c>
      <c r="O18" s="32">
        <v>0.72970000000000002</v>
      </c>
      <c r="P18" s="123">
        <f>+(O18-M18)/(N18-M18)</f>
        <v>150.00000000001666</v>
      </c>
      <c r="Q18" s="158">
        <v>0.72319999999999995</v>
      </c>
      <c r="R18" s="48">
        <v>0.72319999999999995</v>
      </c>
      <c r="S18" s="32">
        <v>0.75239999999999996</v>
      </c>
      <c r="T18" s="32">
        <v>0.75239999999999996</v>
      </c>
      <c r="U18" s="30">
        <f>+(S18-M18)/(Q18-M18)</f>
        <v>4.4352941176470786</v>
      </c>
      <c r="V18" s="30">
        <f>+(T18-M18)/(L18-M18)</f>
        <v>0.89761904761904576</v>
      </c>
      <c r="W18" s="158">
        <v>0.74329999999999996</v>
      </c>
      <c r="X18" s="34">
        <v>0.74329999999999996</v>
      </c>
      <c r="Y18" s="40">
        <v>0.76570000000000005</v>
      </c>
      <c r="Z18" s="60">
        <v>0.76570000000000005</v>
      </c>
      <c r="AA18" s="281">
        <f>+(Y18-M18)/(W18-M18)</f>
        <v>1.7832167832167873</v>
      </c>
      <c r="AB18" s="30">
        <f>+(Z18-M18)/(L18-M18)</f>
        <v>1.2142857142857142</v>
      </c>
      <c r="AC18" s="123" t="s">
        <v>115</v>
      </c>
      <c r="AD18" s="492">
        <f>+L18</f>
        <v>0.75670000000000004</v>
      </c>
      <c r="AE18" s="33">
        <f>+AD18</f>
        <v>0.75670000000000004</v>
      </c>
      <c r="AF18" s="370">
        <v>0.76570000000000005</v>
      </c>
      <c r="AG18" s="370">
        <v>0.76570000000000005</v>
      </c>
      <c r="AH18" s="463">
        <f>+(AF18-M18)/(AD18-M18)</f>
        <v>1.2142857142857142</v>
      </c>
      <c r="AI18" s="30">
        <f>+(AG18-M18)/(L18-M18)</f>
        <v>1.2142857142857142</v>
      </c>
      <c r="AJ18" s="168">
        <f>+AI18</f>
        <v>1.2142857142857142</v>
      </c>
      <c r="AK18" s="70" t="s">
        <v>375</v>
      </c>
      <c r="AL18" s="270"/>
      <c r="AM18" s="168"/>
    </row>
    <row r="19" spans="1:39" ht="105" x14ac:dyDescent="0.25">
      <c r="A19" s="446" t="s">
        <v>377</v>
      </c>
      <c r="B19" s="579" t="s">
        <v>13</v>
      </c>
      <c r="C19" s="367" t="s">
        <v>110</v>
      </c>
      <c r="D19" s="46" t="s">
        <v>101</v>
      </c>
      <c r="E19" s="59" t="s">
        <v>123</v>
      </c>
      <c r="F19" s="46" t="s">
        <v>211</v>
      </c>
      <c r="G19" s="4" t="s">
        <v>13</v>
      </c>
      <c r="H19" s="46" t="s">
        <v>185</v>
      </c>
      <c r="I19" s="46" t="s">
        <v>177</v>
      </c>
      <c r="J19" s="788" t="s">
        <v>184</v>
      </c>
      <c r="K19" s="59" t="s">
        <v>186</v>
      </c>
      <c r="L19" s="184">
        <v>0.84330000000000005</v>
      </c>
      <c r="M19" s="201">
        <v>0.73</v>
      </c>
      <c r="N19" s="210">
        <v>0.77539999999999998</v>
      </c>
      <c r="O19" s="32">
        <v>0.73770000000000002</v>
      </c>
      <c r="P19" s="123">
        <f>+(O19-M19)/(N19-M19)</f>
        <v>0.16960352422907579</v>
      </c>
      <c r="Q19" s="221">
        <v>0.79800000000000004</v>
      </c>
      <c r="R19" s="48">
        <v>0.70499999999999996</v>
      </c>
      <c r="S19" s="32">
        <v>0.75439999999999996</v>
      </c>
      <c r="T19" s="32">
        <v>0.75439999999999996</v>
      </c>
      <c r="U19" s="30">
        <f>+(S19-M19)/(Q19-M19)</f>
        <v>0.35882352941176404</v>
      </c>
      <c r="V19" s="30">
        <f>+(T19-M19)/(L19-M19)</f>
        <v>0.21535745807590434</v>
      </c>
      <c r="W19" s="221">
        <v>0.82069999999999999</v>
      </c>
      <c r="X19" s="34">
        <v>0.70930000000000004</v>
      </c>
      <c r="Y19" s="40">
        <v>0.75449999999999995</v>
      </c>
      <c r="Z19" s="60">
        <v>0.75449999999999995</v>
      </c>
      <c r="AA19" s="281">
        <f>+(Y19-M19)/(W19-M19)</f>
        <v>0.27012127894156523</v>
      </c>
      <c r="AB19" s="30">
        <f>+(Z19-M19)/(L19-M19)</f>
        <v>0.21624007060900222</v>
      </c>
      <c r="AC19" s="123" t="s">
        <v>115</v>
      </c>
      <c r="AD19" s="256">
        <v>0.84330000000000005</v>
      </c>
      <c r="AE19" s="33">
        <f t="shared" si="4"/>
        <v>0.84330000000000005</v>
      </c>
      <c r="AF19" s="370">
        <f>+Y19</f>
        <v>0.75449999999999995</v>
      </c>
      <c r="AG19" s="370">
        <f>+AF19</f>
        <v>0.75449999999999995</v>
      </c>
      <c r="AH19" s="463">
        <f>+(AF19-M19)/(AD19-M19)</f>
        <v>0.21624007060900222</v>
      </c>
      <c r="AI19" s="30">
        <f>+(AG19-M19)/(L19-M19)</f>
        <v>0.21624007060900222</v>
      </c>
      <c r="AJ19" s="168">
        <f>+AI19</f>
        <v>0.21624007060900222</v>
      </c>
      <c r="AK19" s="70" t="s">
        <v>375</v>
      </c>
      <c r="AL19" s="270"/>
      <c r="AM19" s="168"/>
    </row>
    <row r="20" spans="1:39" ht="60" x14ac:dyDescent="0.25">
      <c r="B20" s="576" t="s">
        <v>14</v>
      </c>
      <c r="C20" s="196" t="s">
        <v>110</v>
      </c>
      <c r="D20" s="46" t="s">
        <v>101</v>
      </c>
      <c r="E20" s="59" t="s">
        <v>123</v>
      </c>
      <c r="F20" s="46" t="s">
        <v>211</v>
      </c>
      <c r="G20" s="4" t="s">
        <v>14</v>
      </c>
      <c r="H20" s="46" t="s">
        <v>175</v>
      </c>
      <c r="I20" s="46" t="s">
        <v>177</v>
      </c>
      <c r="J20" s="788" t="s">
        <v>190</v>
      </c>
      <c r="K20" s="59" t="s">
        <v>193</v>
      </c>
      <c r="L20" s="190">
        <v>135964</v>
      </c>
      <c r="M20" s="200">
        <v>109658</v>
      </c>
      <c r="N20" s="211">
        <v>120180</v>
      </c>
      <c r="O20" s="19">
        <v>102105</v>
      </c>
      <c r="P20" s="249">
        <f t="shared" ref="P20:P25" si="6">+O20/N20</f>
        <v>0.849600599101348</v>
      </c>
      <c r="Q20" s="222">
        <v>125441</v>
      </c>
      <c r="R20" s="144">
        <v>125441</v>
      </c>
      <c r="S20" s="19">
        <v>107437</v>
      </c>
      <c r="T20" s="19">
        <v>107437</v>
      </c>
      <c r="U20" s="30">
        <f>+(S20-0)/(Q20-0)</f>
        <v>0.8564743584633413</v>
      </c>
      <c r="V20" s="30">
        <f>+(T20-0)/(L20-0)</f>
        <v>0.79018710835221084</v>
      </c>
      <c r="W20" s="222">
        <v>130703</v>
      </c>
      <c r="X20" s="36">
        <v>130703</v>
      </c>
      <c r="Y20" s="66">
        <v>112959</v>
      </c>
      <c r="Z20" s="66">
        <v>112959</v>
      </c>
      <c r="AA20" s="30">
        <f t="shared" ref="AA20:AA25" si="7">+Y20/W20</f>
        <v>0.86424183071543881</v>
      </c>
      <c r="AB20" s="30">
        <f t="shared" ref="AB20" si="8">+Z20/$X20</f>
        <v>0.86424183071543881</v>
      </c>
      <c r="AC20" s="123" t="s">
        <v>115</v>
      </c>
      <c r="AD20" s="257">
        <v>135964</v>
      </c>
      <c r="AE20" s="35">
        <f t="shared" si="4"/>
        <v>135964</v>
      </c>
      <c r="AF20" s="165">
        <v>0</v>
      </c>
      <c r="AG20" s="447">
        <f>+Z20</f>
        <v>112959</v>
      </c>
      <c r="AH20" s="281">
        <f t="shared" ref="AH20:AI24" si="9">+AF20/AD20</f>
        <v>0</v>
      </c>
      <c r="AI20" s="463">
        <f t="shared" si="9"/>
        <v>0.83080080021182079</v>
      </c>
      <c r="AJ20" s="168">
        <f>+AI20</f>
        <v>0.83080080021182079</v>
      </c>
      <c r="AK20" s="70" t="s">
        <v>375</v>
      </c>
      <c r="AL20" s="270"/>
      <c r="AM20" s="165"/>
    </row>
    <row r="21" spans="1:39" ht="45" x14ac:dyDescent="0.25">
      <c r="A21" s="446"/>
      <c r="B21" s="579" t="s">
        <v>15</v>
      </c>
      <c r="C21" s="369" t="s">
        <v>110</v>
      </c>
      <c r="D21" s="46" t="s">
        <v>101</v>
      </c>
      <c r="E21" s="59" t="s">
        <v>123</v>
      </c>
      <c r="F21" s="46" t="s">
        <v>211</v>
      </c>
      <c r="G21" s="4" t="s">
        <v>15</v>
      </c>
      <c r="H21" s="46" t="s">
        <v>175</v>
      </c>
      <c r="I21" s="46" t="s">
        <v>177</v>
      </c>
      <c r="J21" s="788" t="s">
        <v>190</v>
      </c>
      <c r="K21" s="59" t="s">
        <v>194</v>
      </c>
      <c r="L21" s="29">
        <v>311</v>
      </c>
      <c r="M21" s="200">
        <v>251</v>
      </c>
      <c r="N21" s="49">
        <v>275</v>
      </c>
      <c r="O21" s="18">
        <v>247</v>
      </c>
      <c r="P21" s="249">
        <f t="shared" si="6"/>
        <v>0.89818181818181819</v>
      </c>
      <c r="Q21" s="161">
        <v>287</v>
      </c>
      <c r="R21" s="232">
        <v>287</v>
      </c>
      <c r="S21" s="19">
        <v>250</v>
      </c>
      <c r="T21" s="18">
        <v>250</v>
      </c>
      <c r="U21" s="30">
        <f>+S21/Q21</f>
        <v>0.87108013937282225</v>
      </c>
      <c r="V21" s="30">
        <f>+T21/L21</f>
        <v>0.8038585209003215</v>
      </c>
      <c r="W21" s="161">
        <v>299</v>
      </c>
      <c r="X21" s="36">
        <v>299</v>
      </c>
      <c r="Y21" s="54">
        <v>242</v>
      </c>
      <c r="Z21" s="66">
        <v>242</v>
      </c>
      <c r="AA21" s="281">
        <f t="shared" si="7"/>
        <v>0.80936454849498329</v>
      </c>
      <c r="AB21" s="30">
        <f>+Z21/X21</f>
        <v>0.80936454849498329</v>
      </c>
      <c r="AC21" s="123" t="s">
        <v>115</v>
      </c>
      <c r="AD21" s="255">
        <v>311</v>
      </c>
      <c r="AE21" s="35">
        <f t="shared" si="4"/>
        <v>311</v>
      </c>
      <c r="AF21" s="447">
        <f>+Y21</f>
        <v>242</v>
      </c>
      <c r="AG21" s="447">
        <f>+AF21</f>
        <v>242</v>
      </c>
      <c r="AH21" s="462">
        <f t="shared" si="9"/>
        <v>0.77813504823151125</v>
      </c>
      <c r="AI21" s="30">
        <f t="shared" si="9"/>
        <v>0.77813504823151125</v>
      </c>
      <c r="AJ21" s="168">
        <f t="shared" ref="AJ21:AJ25" si="10">+AI21</f>
        <v>0.77813504823151125</v>
      </c>
      <c r="AK21" s="70" t="s">
        <v>375</v>
      </c>
      <c r="AL21" s="270"/>
      <c r="AM21" s="165"/>
    </row>
    <row r="22" spans="1:39" ht="45" x14ac:dyDescent="0.25">
      <c r="A22" s="474"/>
      <c r="B22" s="576" t="s">
        <v>16</v>
      </c>
      <c r="C22" s="369" t="s">
        <v>110</v>
      </c>
      <c r="D22" s="46" t="s">
        <v>101</v>
      </c>
      <c r="E22" s="59" t="s">
        <v>123</v>
      </c>
      <c r="F22" s="46" t="s">
        <v>211</v>
      </c>
      <c r="G22" s="78" t="s">
        <v>16</v>
      </c>
      <c r="H22" s="46" t="s">
        <v>185</v>
      </c>
      <c r="I22" s="46" t="s">
        <v>177</v>
      </c>
      <c r="J22" s="788" t="s">
        <v>190</v>
      </c>
      <c r="K22" s="59" t="s">
        <v>186</v>
      </c>
      <c r="L22" s="32">
        <v>0.78320000000000001</v>
      </c>
      <c r="M22" s="168">
        <v>0.73309999999999997</v>
      </c>
      <c r="N22" s="47">
        <v>0.75700000000000001</v>
      </c>
      <c r="O22" s="32">
        <v>0.73450000000000004</v>
      </c>
      <c r="P22" s="123">
        <f t="shared" si="6"/>
        <v>0.97027741083223251</v>
      </c>
      <c r="Q22" s="158">
        <v>0.75719999999999998</v>
      </c>
      <c r="R22" s="48">
        <v>0.75719999999999998</v>
      </c>
      <c r="S22" s="32">
        <v>0.73399999999999999</v>
      </c>
      <c r="T22" s="32">
        <v>0.73399999999999999</v>
      </c>
      <c r="U22" s="437">
        <f>+S22/Q22</f>
        <v>0.96936080295826732</v>
      </c>
      <c r="V22" s="442">
        <f>+T22/$R22</f>
        <v>0.96936080295826732</v>
      </c>
      <c r="W22" s="51">
        <v>0.7681</v>
      </c>
      <c r="X22" s="34">
        <v>0.7681</v>
      </c>
      <c r="Y22" s="40">
        <v>0.73160000000000003</v>
      </c>
      <c r="Z22" s="60">
        <v>0.73160000000000003</v>
      </c>
      <c r="AA22" s="30">
        <f>+Y22/W22</f>
        <v>0.95248014581434715</v>
      </c>
      <c r="AB22" s="30">
        <f>+Z22/$X22</f>
        <v>0.95248014581434715</v>
      </c>
      <c r="AC22" s="123" t="s">
        <v>115</v>
      </c>
      <c r="AD22" s="252">
        <v>0.78320000000000001</v>
      </c>
      <c r="AE22" s="33">
        <f t="shared" si="4"/>
        <v>0.78320000000000001</v>
      </c>
      <c r="AF22" s="370">
        <f>+Z22</f>
        <v>0.73160000000000003</v>
      </c>
      <c r="AG22" s="370">
        <f>+AF22</f>
        <v>0.73160000000000003</v>
      </c>
      <c r="AH22" s="462">
        <f>+AF22/AD22</f>
        <v>0.93411644535240046</v>
      </c>
      <c r="AI22" s="30">
        <f t="shared" si="9"/>
        <v>0.93411644535240046</v>
      </c>
      <c r="AJ22" s="168">
        <f t="shared" si="10"/>
        <v>0.93411644535240046</v>
      </c>
      <c r="AK22" s="70" t="s">
        <v>375</v>
      </c>
      <c r="AL22" s="270"/>
      <c r="AM22" s="168"/>
    </row>
    <row r="23" spans="1:39" ht="60" x14ac:dyDescent="0.25">
      <c r="A23" s="582"/>
      <c r="B23" s="752" t="s">
        <v>17</v>
      </c>
      <c r="C23" s="753" t="s">
        <v>110</v>
      </c>
      <c r="D23" s="46" t="s">
        <v>101</v>
      </c>
      <c r="E23" s="59" t="s">
        <v>123</v>
      </c>
      <c r="F23" s="46" t="s">
        <v>211</v>
      </c>
      <c r="G23" s="4" t="s">
        <v>17</v>
      </c>
      <c r="H23" s="46" t="s">
        <v>175</v>
      </c>
      <c r="I23" s="46" t="s">
        <v>177</v>
      </c>
      <c r="J23" s="788" t="s">
        <v>190</v>
      </c>
      <c r="K23" s="59" t="s">
        <v>193</v>
      </c>
      <c r="L23" s="29">
        <v>366740</v>
      </c>
      <c r="M23" s="200">
        <v>362740</v>
      </c>
      <c r="N23" s="49">
        <v>363740</v>
      </c>
      <c r="O23" s="19">
        <v>336068</v>
      </c>
      <c r="P23" s="123">
        <f t="shared" si="6"/>
        <v>0.92392368175070105</v>
      </c>
      <c r="Q23" s="161">
        <v>364740</v>
      </c>
      <c r="R23" s="144">
        <v>364740</v>
      </c>
      <c r="S23" s="19">
        <v>335655</v>
      </c>
      <c r="T23" s="19">
        <v>335655</v>
      </c>
      <c r="U23" s="30">
        <f>+S23/Q23</f>
        <v>0.92025826616219775</v>
      </c>
      <c r="V23" s="30">
        <f>+T23/R23</f>
        <v>0.92025826616219775</v>
      </c>
      <c r="W23" s="161">
        <v>365740</v>
      </c>
      <c r="X23" s="36">
        <v>365740</v>
      </c>
      <c r="Y23" s="66">
        <v>327111</v>
      </c>
      <c r="Z23" s="66">
        <v>327111</v>
      </c>
      <c r="AA23" s="30">
        <f t="shared" si="7"/>
        <v>0.89438125444304695</v>
      </c>
      <c r="AB23" s="30">
        <f>+Z23/X23</f>
        <v>0.89438125444304695</v>
      </c>
      <c r="AC23" s="123" t="s">
        <v>115</v>
      </c>
      <c r="AD23" s="255">
        <v>366740</v>
      </c>
      <c r="AE23" s="35">
        <f t="shared" si="4"/>
        <v>366740</v>
      </c>
      <c r="AF23" s="447">
        <v>327111</v>
      </c>
      <c r="AG23" s="447">
        <v>327111</v>
      </c>
      <c r="AH23" s="462">
        <f t="shared" si="9"/>
        <v>0.89194252058679169</v>
      </c>
      <c r="AI23" s="30">
        <f t="shared" si="9"/>
        <v>0.89194252058679169</v>
      </c>
      <c r="AJ23" s="168">
        <f t="shared" si="10"/>
        <v>0.89194252058679169</v>
      </c>
      <c r="AK23" s="70" t="s">
        <v>456</v>
      </c>
      <c r="AL23" s="270"/>
      <c r="AM23" s="165"/>
    </row>
    <row r="24" spans="1:39" ht="45" x14ac:dyDescent="0.25">
      <c r="A24" s="446"/>
      <c r="B24" s="579" t="s">
        <v>18</v>
      </c>
      <c r="C24" s="369" t="s">
        <v>110</v>
      </c>
      <c r="D24" s="46" t="s">
        <v>101</v>
      </c>
      <c r="E24" s="59" t="s">
        <v>123</v>
      </c>
      <c r="F24" s="46" t="s">
        <v>211</v>
      </c>
      <c r="G24" s="4" t="s">
        <v>18</v>
      </c>
      <c r="H24" s="46" t="s">
        <v>175</v>
      </c>
      <c r="I24" s="46" t="s">
        <v>177</v>
      </c>
      <c r="J24" s="788" t="s">
        <v>190</v>
      </c>
      <c r="K24" s="59" t="s">
        <v>194</v>
      </c>
      <c r="L24" s="29">
        <v>5915</v>
      </c>
      <c r="M24" s="200">
        <v>5515</v>
      </c>
      <c r="N24" s="49">
        <v>5615</v>
      </c>
      <c r="O24" s="16">
        <v>5661</v>
      </c>
      <c r="P24" s="249">
        <f t="shared" si="6"/>
        <v>1.0081923419412289</v>
      </c>
      <c r="Q24" s="161">
        <v>5715</v>
      </c>
      <c r="R24" s="144">
        <v>5715</v>
      </c>
      <c r="S24" s="19">
        <v>5702</v>
      </c>
      <c r="T24" s="19">
        <v>5702</v>
      </c>
      <c r="U24" s="30">
        <f>+S24/Q24</f>
        <v>0.99772528433945762</v>
      </c>
      <c r="V24" s="30">
        <f>+T24/L24</f>
        <v>0.96398985629754863</v>
      </c>
      <c r="W24" s="161">
        <v>5815</v>
      </c>
      <c r="X24" s="36">
        <v>5815</v>
      </c>
      <c r="Y24" s="66">
        <v>5654</v>
      </c>
      <c r="Z24" s="66">
        <v>5654</v>
      </c>
      <c r="AA24" s="281">
        <f t="shared" si="7"/>
        <v>0.97231298366294072</v>
      </c>
      <c r="AB24" s="30">
        <f>+Z24/X24</f>
        <v>0.97231298366294072</v>
      </c>
      <c r="AC24" s="123" t="s">
        <v>115</v>
      </c>
      <c r="AD24" s="255">
        <v>5915</v>
      </c>
      <c r="AE24" s="35">
        <f t="shared" si="4"/>
        <v>5915</v>
      </c>
      <c r="AF24" s="447">
        <f>+Y24</f>
        <v>5654</v>
      </c>
      <c r="AG24" s="447">
        <f>+AF24</f>
        <v>5654</v>
      </c>
      <c r="AH24" s="462">
        <f t="shared" si="9"/>
        <v>0.9558748943364328</v>
      </c>
      <c r="AI24" s="30">
        <f t="shared" si="9"/>
        <v>0.9558748943364328</v>
      </c>
      <c r="AJ24" s="168">
        <f t="shared" si="10"/>
        <v>0.9558748943364328</v>
      </c>
      <c r="AK24" s="70" t="s">
        <v>375</v>
      </c>
      <c r="AL24" s="270"/>
      <c r="AM24" s="165"/>
    </row>
    <row r="25" spans="1:39" ht="210" x14ac:dyDescent="0.25">
      <c r="A25" s="446" t="s">
        <v>426</v>
      </c>
      <c r="B25" s="578" t="s">
        <v>19</v>
      </c>
      <c r="C25" s="367" t="s">
        <v>110</v>
      </c>
      <c r="D25" s="46" t="s">
        <v>101</v>
      </c>
      <c r="E25" s="59" t="s">
        <v>123</v>
      </c>
      <c r="F25" s="46" t="s">
        <v>211</v>
      </c>
      <c r="G25" s="4" t="s">
        <v>19</v>
      </c>
      <c r="H25" s="46" t="s">
        <v>185</v>
      </c>
      <c r="I25" s="46" t="s">
        <v>177</v>
      </c>
      <c r="J25" s="788" t="s">
        <v>190</v>
      </c>
      <c r="K25" s="59" t="s">
        <v>186</v>
      </c>
      <c r="L25" s="13">
        <v>0.91039999999999999</v>
      </c>
      <c r="M25" s="168">
        <v>0.83819999999999995</v>
      </c>
      <c r="N25" s="47">
        <v>0.86709999999999998</v>
      </c>
      <c r="O25" s="13">
        <v>0.83379999999999999</v>
      </c>
      <c r="P25" s="249">
        <f t="shared" si="6"/>
        <v>0.96159612501441583</v>
      </c>
      <c r="Q25" s="158">
        <v>0.88149999999999995</v>
      </c>
      <c r="R25" s="48">
        <v>0.88149999999999995</v>
      </c>
      <c r="S25" s="32">
        <v>0.84209999999999996</v>
      </c>
      <c r="T25" s="13">
        <v>0.84209999999999996</v>
      </c>
      <c r="U25" s="32">
        <f>+S25/Q25</f>
        <v>0.95530346001134436</v>
      </c>
      <c r="V25" s="30">
        <f>+T25/R25</f>
        <v>0.95530346001134436</v>
      </c>
      <c r="W25" s="158">
        <v>0.86599999999999999</v>
      </c>
      <c r="X25" s="34">
        <v>0.86599999999999999</v>
      </c>
      <c r="Y25" s="40">
        <v>0.82850000000000001</v>
      </c>
      <c r="Z25" s="60">
        <v>0.82850000000000001</v>
      </c>
      <c r="AA25" s="699">
        <f t="shared" si="7"/>
        <v>0.95669745958429564</v>
      </c>
      <c r="AB25" s="281">
        <f>+Z25/X25</f>
        <v>0.95669745958429564</v>
      </c>
      <c r="AC25" s="123" t="s">
        <v>115</v>
      </c>
      <c r="AD25" s="252">
        <v>0.91039999999999999</v>
      </c>
      <c r="AE25" s="26">
        <f t="shared" si="4"/>
        <v>0.91039999999999999</v>
      </c>
      <c r="AF25" s="445">
        <f>+Y25</f>
        <v>0.82850000000000001</v>
      </c>
      <c r="AG25" s="445">
        <f>+AF25</f>
        <v>0.82850000000000001</v>
      </c>
      <c r="AH25" s="278">
        <f>+AF25/AD25</f>
        <v>0.9100395430579965</v>
      </c>
      <c r="AI25" s="699">
        <f>+AG25/AE25</f>
        <v>0.9100395430579965</v>
      </c>
      <c r="AJ25" s="168">
        <f t="shared" si="10"/>
        <v>0.9100395430579965</v>
      </c>
      <c r="AK25" s="70" t="s">
        <v>375</v>
      </c>
      <c r="AL25" s="270"/>
      <c r="AM25" s="167"/>
    </row>
    <row r="26" spans="1:39" ht="90" x14ac:dyDescent="0.25">
      <c r="B26" s="576" t="s">
        <v>20</v>
      </c>
      <c r="C26" s="196" t="s">
        <v>110</v>
      </c>
      <c r="D26" s="46" t="s">
        <v>101</v>
      </c>
      <c r="E26" s="59" t="s">
        <v>124</v>
      </c>
      <c r="F26" s="46" t="s">
        <v>211</v>
      </c>
      <c r="G26" s="4" t="s">
        <v>20</v>
      </c>
      <c r="H26" s="46" t="s">
        <v>175</v>
      </c>
      <c r="I26" s="46" t="s">
        <v>177</v>
      </c>
      <c r="J26" s="788" t="s">
        <v>184</v>
      </c>
      <c r="K26" s="59" t="s">
        <v>194</v>
      </c>
      <c r="L26" s="29">
        <v>100</v>
      </c>
      <c r="M26" s="200">
        <v>0</v>
      </c>
      <c r="N26" s="49">
        <v>40</v>
      </c>
      <c r="O26" s="17">
        <v>97</v>
      </c>
      <c r="P26" s="123">
        <f t="shared" ref="P26" si="11">+(O26-M26)/(N26-M26)</f>
        <v>2.4249999999999998</v>
      </c>
      <c r="Q26" s="161">
        <v>20</v>
      </c>
      <c r="R26" s="232">
        <v>60</v>
      </c>
      <c r="S26" s="19">
        <f>+T26-O26</f>
        <v>26</v>
      </c>
      <c r="T26" s="18">
        <v>123</v>
      </c>
      <c r="U26" s="30">
        <f t="shared" ref="U26:U29" si="12">+(S26-M26)/(Q26-M26)</f>
        <v>1.3</v>
      </c>
      <c r="V26" s="30">
        <f>+(T26-M26)/(L26-M26)</f>
        <v>1.23</v>
      </c>
      <c r="W26" s="161">
        <v>20</v>
      </c>
      <c r="X26" s="36">
        <v>80</v>
      </c>
      <c r="Y26" s="375">
        <f>+Z26-T26</f>
        <v>21</v>
      </c>
      <c r="Z26" s="66">
        <v>144</v>
      </c>
      <c r="AA26" s="281">
        <f t="shared" ref="AA26:AA29" si="13">+(Y26-M26)/(W26-M26)</f>
        <v>1.05</v>
      </c>
      <c r="AB26" s="281">
        <f>+(Z26-M26)/(L26-M26)</f>
        <v>1.44</v>
      </c>
      <c r="AC26" s="123" t="s">
        <v>115</v>
      </c>
      <c r="AD26" s="258">
        <v>100</v>
      </c>
      <c r="AE26" s="35">
        <f t="shared" si="4"/>
        <v>100</v>
      </c>
      <c r="AF26" s="447">
        <v>0</v>
      </c>
      <c r="AG26" s="447">
        <f>+Z26+AF26</f>
        <v>144</v>
      </c>
      <c r="AH26" s="281">
        <f>+(AF26-M26)/(AD26-M26)</f>
        <v>0</v>
      </c>
      <c r="AI26" s="462">
        <f>+(AG26-M26)/(AE26-M26)</f>
        <v>1.44</v>
      </c>
      <c r="AJ26" s="168">
        <f>+AI26</f>
        <v>1.44</v>
      </c>
      <c r="AK26" s="70" t="s">
        <v>375</v>
      </c>
      <c r="AL26" s="270"/>
      <c r="AM26" s="165"/>
    </row>
    <row r="27" spans="1:39" ht="60" x14ac:dyDescent="0.25">
      <c r="B27" s="576" t="s">
        <v>21</v>
      </c>
      <c r="C27" s="196" t="s">
        <v>110</v>
      </c>
      <c r="D27" s="46" t="s">
        <v>101</v>
      </c>
      <c r="E27" s="59" t="s">
        <v>123</v>
      </c>
      <c r="F27" s="46" t="s">
        <v>211</v>
      </c>
      <c r="G27" s="4" t="s">
        <v>21</v>
      </c>
      <c r="H27" s="46" t="s">
        <v>185</v>
      </c>
      <c r="I27" s="46" t="s">
        <v>177</v>
      </c>
      <c r="J27" s="788" t="s">
        <v>184</v>
      </c>
      <c r="K27" s="59" t="s">
        <v>186</v>
      </c>
      <c r="L27" s="13">
        <v>0.189</v>
      </c>
      <c r="M27" s="168">
        <v>0.16930000000000001</v>
      </c>
      <c r="N27" s="47">
        <v>0.17399999999999999</v>
      </c>
      <c r="O27" s="13">
        <v>0.1981</v>
      </c>
      <c r="P27" s="123">
        <f>+(O27-M27)/(N27-M27)</f>
        <v>6.1276595744681073</v>
      </c>
      <c r="Q27" s="158">
        <v>0.17899999999999999</v>
      </c>
      <c r="R27" s="48">
        <v>0.17899999999999999</v>
      </c>
      <c r="S27" s="32">
        <v>0.30599999999999999</v>
      </c>
      <c r="T27" s="13">
        <v>0.30599999999999999</v>
      </c>
      <c r="U27" s="30">
        <f>+(S27-M27)/(Q27-M27)</f>
        <v>14.092783505154658</v>
      </c>
      <c r="V27" s="30">
        <f t="shared" ref="V27" si="14">+(T27-M27)/(L27-M27)</f>
        <v>6.9390862944162448</v>
      </c>
      <c r="W27" s="158">
        <v>0.184</v>
      </c>
      <c r="X27" s="34">
        <v>0.184</v>
      </c>
      <c r="Y27" s="330">
        <f>+S27</f>
        <v>0.30599999999999999</v>
      </c>
      <c r="Z27" s="464">
        <f>+T27</f>
        <v>0.30599999999999999</v>
      </c>
      <c r="AA27" s="281">
        <f t="shared" si="13"/>
        <v>9.2993197278911612</v>
      </c>
      <c r="AB27" s="281">
        <f>+(Z27-M27)/(L27-M27)</f>
        <v>6.9390862944162448</v>
      </c>
      <c r="AC27" s="123" t="s">
        <v>371</v>
      </c>
      <c r="AD27" s="252">
        <v>0.189</v>
      </c>
      <c r="AE27" s="26">
        <f t="shared" si="4"/>
        <v>0.189</v>
      </c>
      <c r="AF27" s="445">
        <f>+Y27</f>
        <v>0.30599999999999999</v>
      </c>
      <c r="AG27" s="445">
        <f>+AF27</f>
        <v>0.30599999999999999</v>
      </c>
      <c r="AH27" s="462">
        <f>+(AF27-M27)/(AD27-M27)</f>
        <v>6.9390862944162448</v>
      </c>
      <c r="AI27" s="281">
        <f>+(AG27-M27)/(AE27-M27)</f>
        <v>6.9390862944162448</v>
      </c>
      <c r="AJ27" s="168">
        <f>+AI27</f>
        <v>6.9390862944162448</v>
      </c>
      <c r="AK27" s="70" t="s">
        <v>376</v>
      </c>
      <c r="AL27" s="270"/>
      <c r="AM27" s="167"/>
    </row>
    <row r="28" spans="1:39" ht="45" x14ac:dyDescent="0.25">
      <c r="A28" s="446"/>
      <c r="B28" s="579" t="s">
        <v>22</v>
      </c>
      <c r="C28" s="369" t="s">
        <v>110</v>
      </c>
      <c r="D28" s="46" t="s">
        <v>101</v>
      </c>
      <c r="E28" s="59" t="s">
        <v>123</v>
      </c>
      <c r="F28" s="46" t="s">
        <v>211</v>
      </c>
      <c r="G28" s="4" t="s">
        <v>22</v>
      </c>
      <c r="H28" s="46" t="s">
        <v>175</v>
      </c>
      <c r="I28" s="46" t="s">
        <v>177</v>
      </c>
      <c r="J28" s="788" t="s">
        <v>190</v>
      </c>
      <c r="K28" s="59" t="s">
        <v>194</v>
      </c>
      <c r="L28" s="29">
        <v>812</v>
      </c>
      <c r="M28" s="200">
        <v>784</v>
      </c>
      <c r="N28" s="49">
        <v>796</v>
      </c>
      <c r="O28" s="11">
        <v>782</v>
      </c>
      <c r="P28" s="249">
        <f>+O28/N28</f>
        <v>0.98241206030150752</v>
      </c>
      <c r="Q28" s="161">
        <v>801</v>
      </c>
      <c r="R28" s="232">
        <v>801</v>
      </c>
      <c r="S28" s="19">
        <v>801</v>
      </c>
      <c r="T28" s="11">
        <v>801</v>
      </c>
      <c r="U28" s="30">
        <f>+S28/Q28</f>
        <v>1</v>
      </c>
      <c r="V28" s="30">
        <f>+T28/L28</f>
        <v>0.98645320197044339</v>
      </c>
      <c r="W28" s="161">
        <v>807</v>
      </c>
      <c r="X28" s="36">
        <v>807</v>
      </c>
      <c r="Y28" s="54">
        <v>800</v>
      </c>
      <c r="Z28" s="66">
        <v>800</v>
      </c>
      <c r="AA28" s="281">
        <f>+Y28/W28</f>
        <v>0.99132589838909546</v>
      </c>
      <c r="AB28" s="30">
        <f>+Z28/X28</f>
        <v>0.99132589838909546</v>
      </c>
      <c r="AC28" s="123" t="s">
        <v>115</v>
      </c>
      <c r="AD28" s="255">
        <v>812</v>
      </c>
      <c r="AE28" s="35">
        <f t="shared" si="4"/>
        <v>812</v>
      </c>
      <c r="AF28" s="447">
        <f>+Y28</f>
        <v>800</v>
      </c>
      <c r="AG28" s="447">
        <f>+AF28</f>
        <v>800</v>
      </c>
      <c r="AH28" s="462">
        <f>+AF28/AD28</f>
        <v>0.98522167487684731</v>
      </c>
      <c r="AI28" s="30">
        <f>+AG28/AE28</f>
        <v>0.98522167487684731</v>
      </c>
      <c r="AJ28" s="168">
        <f t="shared" ref="AJ28:AJ29" si="15">+AI28</f>
        <v>0.98522167487684731</v>
      </c>
      <c r="AK28" s="70" t="s">
        <v>375</v>
      </c>
      <c r="AL28" s="270"/>
      <c r="AM28" s="165"/>
    </row>
    <row r="29" spans="1:39" ht="45" x14ac:dyDescent="0.25">
      <c r="B29" s="576" t="s">
        <v>23</v>
      </c>
      <c r="C29" s="196" t="s">
        <v>110</v>
      </c>
      <c r="D29" s="46" t="s">
        <v>101</v>
      </c>
      <c r="E29" s="59" t="s">
        <v>123</v>
      </c>
      <c r="F29" s="46" t="s">
        <v>211</v>
      </c>
      <c r="G29" s="4" t="s">
        <v>23</v>
      </c>
      <c r="H29" s="46" t="s">
        <v>185</v>
      </c>
      <c r="I29" s="46" t="s">
        <v>177</v>
      </c>
      <c r="J29" s="788" t="s">
        <v>184</v>
      </c>
      <c r="K29" s="59" t="s">
        <v>186</v>
      </c>
      <c r="L29" s="13">
        <v>0.77090000000000003</v>
      </c>
      <c r="M29" s="168">
        <v>0.72760000000000002</v>
      </c>
      <c r="N29" s="47">
        <v>0.74319999999999997</v>
      </c>
      <c r="O29" s="13">
        <v>0.73050000000000004</v>
      </c>
      <c r="P29" s="123">
        <f>+(O29-M29)/(N29-M29)</f>
        <v>0.1858974358974374</v>
      </c>
      <c r="Q29" s="158">
        <v>0.74990000000000001</v>
      </c>
      <c r="R29" s="48">
        <v>0.74990000000000001</v>
      </c>
      <c r="S29" s="32">
        <v>0.76849999999999996</v>
      </c>
      <c r="T29" s="13">
        <v>0.76849999999999996</v>
      </c>
      <c r="U29" s="30">
        <f t="shared" si="12"/>
        <v>1.8340807174887874</v>
      </c>
      <c r="V29" s="30">
        <f>+(T29-M29)/(L29-M29)</f>
        <v>0.94457274826789683</v>
      </c>
      <c r="W29" s="158">
        <v>0.76139999999999997</v>
      </c>
      <c r="X29" s="34">
        <v>0.76139999999999997</v>
      </c>
      <c r="Y29" s="40">
        <v>0.7772</v>
      </c>
      <c r="Z29" s="60">
        <v>0.7772</v>
      </c>
      <c r="AA29" s="281">
        <f t="shared" si="13"/>
        <v>1.4674556213017771</v>
      </c>
      <c r="AB29" s="281">
        <f>+(Z29-M29)/(L29-M29)</f>
        <v>1.1454965357967661</v>
      </c>
      <c r="AC29" s="123" t="s">
        <v>115</v>
      </c>
      <c r="AD29" s="252">
        <v>0.77090000000000003</v>
      </c>
      <c r="AE29" s="26">
        <f t="shared" si="4"/>
        <v>0.77090000000000003</v>
      </c>
      <c r="AF29" s="445">
        <f>+Y29</f>
        <v>0.7772</v>
      </c>
      <c r="AG29" s="445">
        <f>+AF29</f>
        <v>0.7772</v>
      </c>
      <c r="AH29" s="462">
        <f>+(AF29-M29)/(AD29-M29)</f>
        <v>1.1454965357967661</v>
      </c>
      <c r="AI29" s="281">
        <f>+(AG29-M29)/(AE29-M29)</f>
        <v>1.1454965357967661</v>
      </c>
      <c r="AJ29" s="168">
        <f t="shared" si="15"/>
        <v>1.1454965357967661</v>
      </c>
      <c r="AK29" s="70" t="s">
        <v>456</v>
      </c>
      <c r="AL29" s="270"/>
      <c r="AM29" s="167"/>
    </row>
    <row r="30" spans="1:39" ht="390" x14ac:dyDescent="0.25">
      <c r="A30" s="582" t="s">
        <v>333</v>
      </c>
      <c r="B30" s="583" t="s">
        <v>24</v>
      </c>
      <c r="C30" s="367" t="s">
        <v>110</v>
      </c>
      <c r="D30" s="46" t="s">
        <v>101</v>
      </c>
      <c r="E30" s="59" t="s">
        <v>123</v>
      </c>
      <c r="F30" s="46" t="s">
        <v>211</v>
      </c>
      <c r="G30" s="4" t="s">
        <v>24</v>
      </c>
      <c r="H30" s="46" t="s">
        <v>175</v>
      </c>
      <c r="I30" s="46" t="s">
        <v>177</v>
      </c>
      <c r="J30" s="788" t="s">
        <v>188</v>
      </c>
      <c r="K30" s="59" t="s">
        <v>193</v>
      </c>
      <c r="L30" s="29">
        <v>500798</v>
      </c>
      <c r="M30" s="200">
        <v>432372</v>
      </c>
      <c r="N30" s="49">
        <f>494798</f>
        <v>494798</v>
      </c>
      <c r="O30" s="19">
        <f>397378</f>
        <v>397378</v>
      </c>
      <c r="P30" s="249">
        <f>+O30/N30</f>
        <v>0.80311157280344703</v>
      </c>
      <c r="Q30" s="161">
        <v>496798</v>
      </c>
      <c r="R30" s="144">
        <v>496798</v>
      </c>
      <c r="S30" s="19">
        <v>419858</v>
      </c>
      <c r="T30" s="19">
        <v>419858</v>
      </c>
      <c r="U30" s="30">
        <f>+S30/Q30</f>
        <v>0.84512820099919883</v>
      </c>
      <c r="V30" s="30">
        <f>+T30/R30</f>
        <v>0.84512820099919883</v>
      </c>
      <c r="W30" s="161">
        <v>498798</v>
      </c>
      <c r="X30" s="36">
        <v>498798</v>
      </c>
      <c r="Y30" s="66">
        <v>404271</v>
      </c>
      <c r="Z30" s="66">
        <v>404271</v>
      </c>
      <c r="AA30" s="281">
        <f>+Y30/W30</f>
        <v>0.81049041896719709</v>
      </c>
      <c r="AB30" s="30">
        <f>+Z30/X30</f>
        <v>0.81049041896719709</v>
      </c>
      <c r="AC30" s="123" t="s">
        <v>115</v>
      </c>
      <c r="AD30" s="255">
        <v>582001</v>
      </c>
      <c r="AE30" s="35">
        <f t="shared" si="4"/>
        <v>500798</v>
      </c>
      <c r="AF30" s="447">
        <v>0</v>
      </c>
      <c r="AG30" s="447">
        <f>+Z30+AF30</f>
        <v>404271</v>
      </c>
      <c r="AH30" s="281">
        <f>+AF30/AD30</f>
        <v>0</v>
      </c>
      <c r="AI30" s="463">
        <f>+AG30/AE30</f>
        <v>0.80725362321734506</v>
      </c>
      <c r="AJ30" s="168">
        <f>+AI30</f>
        <v>0.80725362321734506</v>
      </c>
      <c r="AK30" s="745" t="s">
        <v>456</v>
      </c>
      <c r="AL30" s="270"/>
      <c r="AM30" s="165"/>
    </row>
    <row r="31" spans="1:39" ht="60" x14ac:dyDescent="0.25">
      <c r="B31" s="576" t="s">
        <v>25</v>
      </c>
      <c r="C31" s="197" t="s">
        <v>110</v>
      </c>
      <c r="D31" s="46" t="s">
        <v>101</v>
      </c>
      <c r="E31" s="59" t="s">
        <v>123</v>
      </c>
      <c r="F31" s="46" t="s">
        <v>211</v>
      </c>
      <c r="G31" s="78" t="s">
        <v>25</v>
      </c>
      <c r="H31" s="46" t="s">
        <v>191</v>
      </c>
      <c r="I31" s="46" t="s">
        <v>177</v>
      </c>
      <c r="J31" s="788" t="s">
        <v>190</v>
      </c>
      <c r="K31" s="59" t="s">
        <v>194</v>
      </c>
      <c r="L31" s="29">
        <v>3869</v>
      </c>
      <c r="M31" s="200">
        <v>5258</v>
      </c>
      <c r="N31" s="49">
        <v>3794</v>
      </c>
      <c r="O31" s="16">
        <v>3832</v>
      </c>
      <c r="P31" s="123">
        <f>+O31/N31</f>
        <v>1.0100158144438587</v>
      </c>
      <c r="Q31" s="161">
        <v>3819</v>
      </c>
      <c r="R31" s="144">
        <v>3819</v>
      </c>
      <c r="S31" s="27">
        <v>4042</v>
      </c>
      <c r="T31" s="27">
        <v>4042</v>
      </c>
      <c r="U31" s="437">
        <f>+S31/Q31</f>
        <v>1.0583922492799163</v>
      </c>
      <c r="V31" s="442">
        <f>+T31/$R31</f>
        <v>1.0583922492799163</v>
      </c>
      <c r="W31" s="56">
        <v>3844</v>
      </c>
      <c r="X31" s="36">
        <v>3844</v>
      </c>
      <c r="Y31" s="66">
        <v>4525</v>
      </c>
      <c r="Z31" s="66">
        <v>4525</v>
      </c>
      <c r="AA31" s="30">
        <f>+Y31/W31</f>
        <v>1.1771592091571279</v>
      </c>
      <c r="AB31" s="30">
        <f>+Z31/$X31</f>
        <v>1.1771592091571279</v>
      </c>
      <c r="AC31" s="123" t="s">
        <v>115</v>
      </c>
      <c r="AD31" s="258">
        <v>3869</v>
      </c>
      <c r="AE31" s="35">
        <f t="shared" si="4"/>
        <v>3869</v>
      </c>
      <c r="AF31" s="447">
        <f>+Z31</f>
        <v>4525</v>
      </c>
      <c r="AG31" s="447">
        <f>+AF31</f>
        <v>4525</v>
      </c>
      <c r="AH31" s="462">
        <f>+AF31/AD31</f>
        <v>1.1695528560351511</v>
      </c>
      <c r="AI31" s="30">
        <f>+AG31/AE31</f>
        <v>1.1695528560351511</v>
      </c>
      <c r="AJ31" s="168">
        <f>+AI31</f>
        <v>1.1695528560351511</v>
      </c>
      <c r="AK31" s="70" t="s">
        <v>456</v>
      </c>
      <c r="AL31" s="270"/>
      <c r="AM31" s="165"/>
    </row>
    <row r="32" spans="1:39" ht="225" x14ac:dyDescent="0.25">
      <c r="A32" s="446" t="s">
        <v>332</v>
      </c>
      <c r="B32" s="578" t="s">
        <v>26</v>
      </c>
      <c r="C32" s="367" t="s">
        <v>110</v>
      </c>
      <c r="D32" s="46" t="s">
        <v>101</v>
      </c>
      <c r="E32" s="59" t="s">
        <v>123</v>
      </c>
      <c r="F32" s="46" t="s">
        <v>211</v>
      </c>
      <c r="G32" s="78" t="s">
        <v>26</v>
      </c>
      <c r="H32" s="46" t="s">
        <v>191</v>
      </c>
      <c r="I32" s="46" t="s">
        <v>177</v>
      </c>
      <c r="J32" s="788" t="s">
        <v>187</v>
      </c>
      <c r="K32" s="59" t="s">
        <v>195</v>
      </c>
      <c r="L32" s="239">
        <v>553408</v>
      </c>
      <c r="M32" s="202">
        <v>690512</v>
      </c>
      <c r="N32" s="211">
        <v>669101</v>
      </c>
      <c r="O32" s="19">
        <v>670974</v>
      </c>
      <c r="P32" s="123">
        <f>(M32-O32)/(M32-N32)</f>
        <v>0.91252160104619118</v>
      </c>
      <c r="Q32" s="222">
        <v>639206</v>
      </c>
      <c r="R32" s="144">
        <v>639206</v>
      </c>
      <c r="S32" s="27">
        <v>667431</v>
      </c>
      <c r="T32" s="19">
        <v>667431</v>
      </c>
      <c r="U32" s="437">
        <f>+(M32-S32)/(M32-Q32)</f>
        <v>0.44986941098507</v>
      </c>
      <c r="V32" s="442">
        <f>+(M32-T32)/(M32-L32)</f>
        <v>0.16834665655268993</v>
      </c>
      <c r="W32" s="236">
        <v>603443</v>
      </c>
      <c r="X32" s="36">
        <v>603443</v>
      </c>
      <c r="Y32" s="581">
        <v>660327</v>
      </c>
      <c r="Z32" s="66">
        <f>+Y32</f>
        <v>660327</v>
      </c>
      <c r="AA32" s="30">
        <f>+(M32-Y32)/(M32-W32)</f>
        <v>0.34667907062215025</v>
      </c>
      <c r="AB32" s="30">
        <f>(M32-Z32)/(M32-X32)</f>
        <v>0.34667907062215025</v>
      </c>
      <c r="AC32" s="123" t="s">
        <v>115</v>
      </c>
      <c r="AD32" s="257">
        <v>553408</v>
      </c>
      <c r="AE32" s="36">
        <f t="shared" si="4"/>
        <v>553408</v>
      </c>
      <c r="AF32" s="449">
        <f>+Y32</f>
        <v>660327</v>
      </c>
      <c r="AG32" s="449">
        <f>+AF32</f>
        <v>660327</v>
      </c>
      <c r="AH32" s="463">
        <f>(M32-AF32)/(M32-AD32)</f>
        <v>0.22016133737892402</v>
      </c>
      <c r="AI32" s="30">
        <f>+(M32-AG32)/(M32-AE32)</f>
        <v>0.22016133737892402</v>
      </c>
      <c r="AJ32" s="168">
        <f t="shared" ref="AJ32" si="16">+AI32</f>
        <v>0.22016133737892402</v>
      </c>
      <c r="AK32" s="745" t="s">
        <v>437</v>
      </c>
      <c r="AL32" s="270"/>
      <c r="AM32" s="162"/>
    </row>
    <row r="33" spans="1:44" ht="150" x14ac:dyDescent="0.25">
      <c r="B33" s="576" t="s">
        <v>27</v>
      </c>
      <c r="C33" s="369" t="s">
        <v>110</v>
      </c>
      <c r="D33" s="46" t="s">
        <v>101</v>
      </c>
      <c r="E33" s="59" t="s">
        <v>124</v>
      </c>
      <c r="F33" s="46" t="s">
        <v>212</v>
      </c>
      <c r="G33" s="455" t="s">
        <v>27</v>
      </c>
      <c r="H33" s="46" t="s">
        <v>175</v>
      </c>
      <c r="I33" s="46" t="s">
        <v>178</v>
      </c>
      <c r="J33" s="788" t="s">
        <v>184</v>
      </c>
      <c r="K33" s="59" t="s">
        <v>196</v>
      </c>
      <c r="L33" s="29">
        <v>30693</v>
      </c>
      <c r="M33" s="200">
        <v>0</v>
      </c>
      <c r="N33" s="49">
        <v>1562</v>
      </c>
      <c r="O33" s="29">
        <v>3131</v>
      </c>
      <c r="P33" s="123">
        <f>+(O33-M33)/(N33-M33)</f>
        <v>2.0044814340588988</v>
      </c>
      <c r="Q33" s="161">
        <v>2722</v>
      </c>
      <c r="R33" s="144">
        <f>+N33+Q33</f>
        <v>4284</v>
      </c>
      <c r="S33" s="27">
        <v>2832</v>
      </c>
      <c r="T33" s="434">
        <f>+O33+S33</f>
        <v>5963</v>
      </c>
      <c r="U33" s="30">
        <f>+(S33-M33)/(Q33-M33)</f>
        <v>1.0404114621601763</v>
      </c>
      <c r="V33" s="30">
        <f>+(T33-M33)/(L33-M33)</f>
        <v>0.19427882579089695</v>
      </c>
      <c r="W33" s="161">
        <f>+X33-S33</f>
        <v>7466</v>
      </c>
      <c r="X33" s="27">
        <v>10298</v>
      </c>
      <c r="Y33" s="62">
        <v>2952</v>
      </c>
      <c r="Z33" s="66">
        <f>+T33+Y33</f>
        <v>8915</v>
      </c>
      <c r="AA33" s="281">
        <f>+(Y33-M33)/(W33-M33)</f>
        <v>0.39539244575408516</v>
      </c>
      <c r="AB33" s="30">
        <f>+Z33/$X33</f>
        <v>0.86570207807341226</v>
      </c>
      <c r="AC33" s="123" t="s">
        <v>115</v>
      </c>
      <c r="AD33" s="255">
        <f>+AE33-X33</f>
        <v>20395</v>
      </c>
      <c r="AE33" s="35">
        <f t="shared" si="4"/>
        <v>30693</v>
      </c>
      <c r="AF33" s="165">
        <v>17746</v>
      </c>
      <c r="AG33" s="299">
        <f>+Z33+AF33</f>
        <v>26661</v>
      </c>
      <c r="AH33" s="30">
        <f t="shared" ref="AH33" si="17">+AF33/AD33</f>
        <v>0.87011522431968624</v>
      </c>
      <c r="AI33" s="463">
        <f>+AG33/AE33</f>
        <v>0.86863454207799828</v>
      </c>
      <c r="AJ33" s="168">
        <f>+AI33</f>
        <v>0.86863454207799828</v>
      </c>
      <c r="AK33" s="585" t="s">
        <v>461</v>
      </c>
      <c r="AL33" s="584" t="s">
        <v>462</v>
      </c>
      <c r="AM33" s="165"/>
      <c r="AN33" s="473"/>
      <c r="AR33" s="155"/>
    </row>
    <row r="34" spans="1:44" ht="90" x14ac:dyDescent="0.25">
      <c r="A34" s="446" t="s">
        <v>315</v>
      </c>
      <c r="B34" s="578" t="s">
        <v>28</v>
      </c>
      <c r="C34" s="367" t="s">
        <v>110</v>
      </c>
      <c r="D34" s="46" t="s">
        <v>101</v>
      </c>
      <c r="E34" s="59" t="s">
        <v>123</v>
      </c>
      <c r="F34" s="46" t="s">
        <v>211</v>
      </c>
      <c r="G34" s="4" t="s">
        <v>28</v>
      </c>
      <c r="H34" s="46" t="s">
        <v>175</v>
      </c>
      <c r="I34" s="46" t="s">
        <v>177</v>
      </c>
      <c r="J34" s="788" t="s">
        <v>190</v>
      </c>
      <c r="K34" s="59" t="s">
        <v>186</v>
      </c>
      <c r="L34" s="472">
        <v>0.57789999999999997</v>
      </c>
      <c r="M34" s="747">
        <v>0.57479999999999998</v>
      </c>
      <c r="N34" s="47">
        <v>0.5766</v>
      </c>
      <c r="O34" s="13">
        <v>0.58809999999999996</v>
      </c>
      <c r="P34" s="249">
        <f>+O34/N34</f>
        <v>1.0199445022545959</v>
      </c>
      <c r="Q34" s="158">
        <v>0.5766</v>
      </c>
      <c r="R34" s="48">
        <v>0.5766</v>
      </c>
      <c r="S34" s="32">
        <v>0.5706</v>
      </c>
      <c r="T34" s="13">
        <v>0.5706</v>
      </c>
      <c r="U34" s="438">
        <f>+S34/Q34</f>
        <v>0.98959417273673256</v>
      </c>
      <c r="V34" s="442">
        <f>+T34/$R34</f>
        <v>0.98959417273673256</v>
      </c>
      <c r="W34" s="51">
        <v>0.57720000000000005</v>
      </c>
      <c r="X34" s="34">
        <v>0.57720000000000005</v>
      </c>
      <c r="Y34" s="40">
        <v>0.55569999999999997</v>
      </c>
      <c r="Z34" s="60">
        <v>0.55569999999999997</v>
      </c>
      <c r="AA34" s="32">
        <f>+Y34/W34</f>
        <v>0.96275121275121267</v>
      </c>
      <c r="AB34" s="30">
        <f>+Z34/$X34</f>
        <v>0.96275121275121267</v>
      </c>
      <c r="AC34" s="123" t="s">
        <v>115</v>
      </c>
      <c r="AD34" s="252">
        <v>0.57789999999999997</v>
      </c>
      <c r="AE34" s="26">
        <v>0.57789999999999997</v>
      </c>
      <c r="AF34" s="370">
        <f>+Z34</f>
        <v>0.55569999999999997</v>
      </c>
      <c r="AG34" s="370">
        <f>+AF34</f>
        <v>0.55569999999999997</v>
      </c>
      <c r="AH34" s="462">
        <f>+AF34/AD34</f>
        <v>0.96158504931649069</v>
      </c>
      <c r="AI34" s="30">
        <f>+AG34/AE34</f>
        <v>0.96158504931649069</v>
      </c>
      <c r="AJ34" s="168">
        <f t="shared" ref="AJ34" si="18">+AI34</f>
        <v>0.96158504931649069</v>
      </c>
      <c r="AK34" s="70" t="s">
        <v>456</v>
      </c>
      <c r="AL34" s="270"/>
      <c r="AM34" s="167"/>
    </row>
    <row r="35" spans="1:44" ht="60" x14ac:dyDescent="0.25">
      <c r="B35" s="576" t="s">
        <v>29</v>
      </c>
      <c r="C35" s="196" t="s">
        <v>111</v>
      </c>
      <c r="D35" s="46" t="s">
        <v>101</v>
      </c>
      <c r="E35" s="59" t="s">
        <v>127</v>
      </c>
      <c r="F35" s="46" t="s">
        <v>212</v>
      </c>
      <c r="G35" s="455" t="s">
        <v>29</v>
      </c>
      <c r="H35" s="46" t="s">
        <v>185</v>
      </c>
      <c r="I35" s="46" t="s">
        <v>180</v>
      </c>
      <c r="J35" s="788" t="s">
        <v>190</v>
      </c>
      <c r="K35" s="59" t="s">
        <v>183</v>
      </c>
      <c r="L35" s="9">
        <v>0.45</v>
      </c>
      <c r="M35" s="168">
        <v>0.33300000000000002</v>
      </c>
      <c r="N35" s="47">
        <v>0.34899999999999998</v>
      </c>
      <c r="O35" s="12">
        <v>0.34</v>
      </c>
      <c r="P35" s="123">
        <f>+O35/N35</f>
        <v>0.97421203438395432</v>
      </c>
      <c r="Q35" s="158">
        <v>0.36899999999999999</v>
      </c>
      <c r="R35" s="48">
        <v>0.36899999999999999</v>
      </c>
      <c r="S35" s="15">
        <v>0.41399999999999998</v>
      </c>
      <c r="T35" s="15">
        <v>0.41399999999999998</v>
      </c>
      <c r="U35" s="30">
        <f>+S35/Q35</f>
        <v>1.121951219512195</v>
      </c>
      <c r="V35" s="30">
        <f>+T35/R35</f>
        <v>1.121951219512195</v>
      </c>
      <c r="W35" s="181">
        <v>0.42099999999999999</v>
      </c>
      <c r="X35" s="34">
        <v>0.42099999999999999</v>
      </c>
      <c r="Y35" s="44">
        <v>0.45400000000000001</v>
      </c>
      <c r="Z35" s="44">
        <v>0.45400000000000001</v>
      </c>
      <c r="AA35" s="281">
        <f>+Y35/W35</f>
        <v>1.0783847980997625</v>
      </c>
      <c r="AB35" s="30">
        <f>+Z35/X35</f>
        <v>1.0783847980997625</v>
      </c>
      <c r="AC35" s="123" t="s">
        <v>115</v>
      </c>
      <c r="AD35" s="252">
        <v>0.45</v>
      </c>
      <c r="AE35" s="243">
        <f t="shared" ref="AE35:AE42" si="19">+L35</f>
        <v>0.45</v>
      </c>
      <c r="AF35" s="443">
        <v>0</v>
      </c>
      <c r="AG35" s="443">
        <v>0.45400000000000001</v>
      </c>
      <c r="AH35" s="462">
        <f t="shared" ref="AH35:AI37" si="20">+AF35/AD35</f>
        <v>0</v>
      </c>
      <c r="AI35" s="30">
        <f t="shared" si="20"/>
        <v>1.0088888888888889</v>
      </c>
      <c r="AJ35" s="168">
        <f t="shared" ref="AJ35:AJ66" si="21">+AI35</f>
        <v>1.0088888888888889</v>
      </c>
      <c r="AK35" s="70" t="s">
        <v>375</v>
      </c>
      <c r="AL35" s="270"/>
      <c r="AM35" s="174"/>
    </row>
    <row r="36" spans="1:44" ht="90" x14ac:dyDescent="0.25">
      <c r="A36" s="446" t="s">
        <v>378</v>
      </c>
      <c r="B36" s="577" t="s">
        <v>30</v>
      </c>
      <c r="C36" s="196" t="s">
        <v>111</v>
      </c>
      <c r="D36" s="46" t="s">
        <v>101</v>
      </c>
      <c r="E36" s="59" t="s">
        <v>127</v>
      </c>
      <c r="F36" s="46" t="s">
        <v>212</v>
      </c>
      <c r="G36" s="455" t="s">
        <v>30</v>
      </c>
      <c r="H36" s="46" t="s">
        <v>191</v>
      </c>
      <c r="I36" s="46" t="s">
        <v>177</v>
      </c>
      <c r="J36" s="788" t="s">
        <v>190</v>
      </c>
      <c r="K36" s="59" t="s">
        <v>183</v>
      </c>
      <c r="L36" s="9">
        <v>0.12</v>
      </c>
      <c r="M36" s="168">
        <v>0</v>
      </c>
      <c r="N36" s="47">
        <v>0.03</v>
      </c>
      <c r="O36" s="13">
        <v>2.9499999999999998E-2</v>
      </c>
      <c r="P36" s="123">
        <f>+O36/N36</f>
        <v>0.98333333333333328</v>
      </c>
      <c r="Q36" s="158">
        <v>0.06</v>
      </c>
      <c r="R36" s="48">
        <v>0.06</v>
      </c>
      <c r="S36" s="13">
        <v>6.25E-2</v>
      </c>
      <c r="T36" s="291">
        <v>6.25E-2</v>
      </c>
      <c r="U36" s="30">
        <f>+S36/Q36</f>
        <v>1.0416666666666667</v>
      </c>
      <c r="V36" s="30">
        <f>+T36/R36</f>
        <v>1.0416666666666667</v>
      </c>
      <c r="W36" s="181">
        <v>0.09</v>
      </c>
      <c r="X36" s="34">
        <v>0.09</v>
      </c>
      <c r="Y36" s="748">
        <v>0</v>
      </c>
      <c r="Z36" s="44">
        <f>+Y36</f>
        <v>0</v>
      </c>
      <c r="AA36" s="281">
        <f>+Y36/W36</f>
        <v>0</v>
      </c>
      <c r="AB36" s="30">
        <f>+Z36/X36</f>
        <v>0</v>
      </c>
      <c r="AC36" s="123" t="s">
        <v>115</v>
      </c>
      <c r="AD36" s="252">
        <v>0.12</v>
      </c>
      <c r="AE36" s="243">
        <f t="shared" si="19"/>
        <v>0.12</v>
      </c>
      <c r="AF36" s="370">
        <f>+Y36</f>
        <v>0</v>
      </c>
      <c r="AG36" s="370">
        <f>+AF36</f>
        <v>0</v>
      </c>
      <c r="AH36" s="462">
        <f t="shared" si="20"/>
        <v>0</v>
      </c>
      <c r="AI36" s="281">
        <f t="shared" si="20"/>
        <v>0</v>
      </c>
      <c r="AJ36" s="168">
        <f t="shared" si="21"/>
        <v>0</v>
      </c>
      <c r="AK36" s="70" t="s">
        <v>375</v>
      </c>
      <c r="AL36" s="270"/>
      <c r="AM36" s="174"/>
    </row>
    <row r="37" spans="1:44" ht="90" x14ac:dyDescent="0.25">
      <c r="A37" s="446"/>
      <c r="B37" s="579" t="s">
        <v>31</v>
      </c>
      <c r="C37" s="369" t="s">
        <v>111</v>
      </c>
      <c r="D37" s="46" t="s">
        <v>101</v>
      </c>
      <c r="E37" s="59" t="s">
        <v>128</v>
      </c>
      <c r="F37" s="46" t="s">
        <v>211</v>
      </c>
      <c r="G37" s="4" t="s">
        <v>31</v>
      </c>
      <c r="H37" s="46" t="s">
        <v>185</v>
      </c>
      <c r="I37" s="46" t="s">
        <v>177</v>
      </c>
      <c r="J37" s="54" t="s">
        <v>190</v>
      </c>
      <c r="K37" s="59" t="s">
        <v>183</v>
      </c>
      <c r="L37" s="9">
        <v>0.08</v>
      </c>
      <c r="M37" s="168">
        <v>2.2599999999999999E-2</v>
      </c>
      <c r="N37" s="47">
        <v>0.03</v>
      </c>
      <c r="O37" s="15">
        <v>3.2000000000000001E-2</v>
      </c>
      <c r="P37" s="123">
        <f>+O37/N37</f>
        <v>1.0666666666666667</v>
      </c>
      <c r="Q37" s="158">
        <v>0.04</v>
      </c>
      <c r="R37" s="48">
        <v>0.04</v>
      </c>
      <c r="S37" s="15">
        <v>5.6000000000000001E-2</v>
      </c>
      <c r="T37" s="25">
        <v>5.6000000000000001E-2</v>
      </c>
      <c r="U37" s="30">
        <f>+S37/Q37</f>
        <v>1.4</v>
      </c>
      <c r="V37" s="30">
        <f>+T37/R37</f>
        <v>1.4</v>
      </c>
      <c r="W37" s="181">
        <v>0.06</v>
      </c>
      <c r="X37" s="34">
        <v>0.06</v>
      </c>
      <c r="Y37" s="52">
        <v>4.7500000000000001E-2</v>
      </c>
      <c r="Z37" s="44">
        <v>4.7500000000000001E-2</v>
      </c>
      <c r="AA37" s="281">
        <f>+Y37/W37</f>
        <v>0.79166666666666674</v>
      </c>
      <c r="AB37" s="30">
        <f>+Z37/X37</f>
        <v>0.79166666666666674</v>
      </c>
      <c r="AC37" s="123" t="s">
        <v>115</v>
      </c>
      <c r="AD37" s="252">
        <v>0.08</v>
      </c>
      <c r="AE37" s="241">
        <f t="shared" si="19"/>
        <v>0.08</v>
      </c>
      <c r="AF37" s="443">
        <v>4.7500000000000001E-2</v>
      </c>
      <c r="AG37" s="443">
        <v>4.7500000000000001E-2</v>
      </c>
      <c r="AH37" s="463">
        <f t="shared" si="20"/>
        <v>0.59375</v>
      </c>
      <c r="AI37" s="30">
        <f t="shared" si="20"/>
        <v>0.59375</v>
      </c>
      <c r="AJ37" s="168">
        <f t="shared" si="21"/>
        <v>0.59375</v>
      </c>
      <c r="AK37" s="70" t="s">
        <v>375</v>
      </c>
      <c r="AL37" s="271"/>
      <c r="AM37" s="174"/>
    </row>
    <row r="38" spans="1:44" ht="60" x14ac:dyDescent="0.25">
      <c r="B38" s="576" t="s">
        <v>32</v>
      </c>
      <c r="C38" s="196" t="s">
        <v>111</v>
      </c>
      <c r="D38" s="46" t="s">
        <v>101</v>
      </c>
      <c r="E38" s="59" t="s">
        <v>129</v>
      </c>
      <c r="F38" s="46" t="s">
        <v>212</v>
      </c>
      <c r="G38" s="455" t="s">
        <v>32</v>
      </c>
      <c r="H38" s="46" t="s">
        <v>175</v>
      </c>
      <c r="I38" s="46" t="s">
        <v>178</v>
      </c>
      <c r="J38" s="788" t="s">
        <v>184</v>
      </c>
      <c r="K38" s="59" t="s">
        <v>183</v>
      </c>
      <c r="L38" s="12">
        <v>0.2</v>
      </c>
      <c r="M38" s="168">
        <v>0</v>
      </c>
      <c r="N38" s="47">
        <v>0.04</v>
      </c>
      <c r="O38" s="15">
        <v>4.6047929010066026E-2</v>
      </c>
      <c r="P38" s="123">
        <f>+(O38-M38)/(N38-M38)</f>
        <v>1.1511982252516506</v>
      </c>
      <c r="Q38" s="158">
        <v>0.09</v>
      </c>
      <c r="R38" s="48">
        <v>0.09</v>
      </c>
      <c r="S38" s="13">
        <v>6.9900000000000004E-2</v>
      </c>
      <c r="T38" s="10">
        <v>6.9900000000000004E-2</v>
      </c>
      <c r="U38" s="30">
        <f>+(S38-M38)/(Q38-M38)</f>
        <v>0.77666666666666673</v>
      </c>
      <c r="V38" s="30">
        <f>+(T38-M38)/(L38-M38)</f>
        <v>0.34949999999999998</v>
      </c>
      <c r="W38" s="181">
        <v>0.13</v>
      </c>
      <c r="X38" s="34">
        <v>0.13</v>
      </c>
      <c r="Y38" s="44">
        <v>0.10009999999999999</v>
      </c>
      <c r="Z38" s="44">
        <v>0.10009999999999999</v>
      </c>
      <c r="AA38" s="281">
        <f>+(Y38-M38)/(W38-M38)</f>
        <v>0.76999999999999991</v>
      </c>
      <c r="AB38" s="281">
        <f>+(Z38-M38)/(L38-M38)</f>
        <v>0.50049999999999994</v>
      </c>
      <c r="AC38" s="123" t="s">
        <v>115</v>
      </c>
      <c r="AD38" s="252">
        <v>0.2</v>
      </c>
      <c r="AE38" s="242">
        <f t="shared" si="19"/>
        <v>0.2</v>
      </c>
      <c r="AF38" s="750">
        <v>0.13389999999999999</v>
      </c>
      <c r="AG38" s="167">
        <f>+AF38</f>
        <v>0.13389999999999999</v>
      </c>
      <c r="AH38" s="462">
        <f>+(AF38-M38)/(AD38-M38)</f>
        <v>0.66949999999999987</v>
      </c>
      <c r="AI38" s="281">
        <f>+(AG38-M38)/(AE38-M38)</f>
        <v>0.66949999999999987</v>
      </c>
      <c r="AJ38" s="168">
        <f>+AI38</f>
        <v>0.66949999999999987</v>
      </c>
      <c r="AK38" s="585" t="s">
        <v>464</v>
      </c>
      <c r="AL38" s="271" t="s">
        <v>463</v>
      </c>
      <c r="AM38" s="170"/>
    </row>
    <row r="39" spans="1:44" ht="135" x14ac:dyDescent="0.25">
      <c r="A39" s="446"/>
      <c r="B39" s="579" t="s">
        <v>33</v>
      </c>
      <c r="C39" s="369" t="s">
        <v>111</v>
      </c>
      <c r="D39" s="46" t="s">
        <v>101</v>
      </c>
      <c r="E39" s="59" t="s">
        <v>130</v>
      </c>
      <c r="F39" s="46" t="s">
        <v>211</v>
      </c>
      <c r="G39" s="454" t="s">
        <v>33</v>
      </c>
      <c r="H39" s="46" t="s">
        <v>185</v>
      </c>
      <c r="I39" s="46" t="s">
        <v>177</v>
      </c>
      <c r="J39" s="788" t="s">
        <v>190</v>
      </c>
      <c r="K39" s="59" t="s">
        <v>183</v>
      </c>
      <c r="L39" s="10">
        <v>0.309</v>
      </c>
      <c r="M39" s="168">
        <v>0.27700000000000002</v>
      </c>
      <c r="N39" s="47">
        <v>0.28499999999999998</v>
      </c>
      <c r="O39" s="13">
        <v>0.26400000000000001</v>
      </c>
      <c r="P39" s="123">
        <f>+O39/N39</f>
        <v>0.92631578947368431</v>
      </c>
      <c r="Q39" s="158">
        <v>0.29299999999999998</v>
      </c>
      <c r="R39" s="48">
        <v>0.29299999999999998</v>
      </c>
      <c r="S39" s="13">
        <v>0.35720000000000002</v>
      </c>
      <c r="T39" s="13">
        <v>0.35720000000000002</v>
      </c>
      <c r="U39" s="30">
        <f>+S39/Q39</f>
        <v>1.2191126279863482</v>
      </c>
      <c r="V39" s="30">
        <f>+T39/R39</f>
        <v>1.2191126279863482</v>
      </c>
      <c r="W39" s="181">
        <v>0.30099999999999999</v>
      </c>
      <c r="X39" s="34">
        <v>0.30099999999999999</v>
      </c>
      <c r="Y39" s="52">
        <v>0.32129999999999997</v>
      </c>
      <c r="Z39" s="52">
        <v>0.32129999999999997</v>
      </c>
      <c r="AA39" s="281">
        <f>+Y39/W39</f>
        <v>1.0674418604651161</v>
      </c>
      <c r="AB39" s="30">
        <f>+Z39/X39</f>
        <v>1.0674418604651161</v>
      </c>
      <c r="AC39" s="123" t="s">
        <v>115</v>
      </c>
      <c r="AD39" s="252">
        <v>0.309</v>
      </c>
      <c r="AE39" s="243">
        <f t="shared" si="19"/>
        <v>0.309</v>
      </c>
      <c r="AF39" s="443">
        <v>0.32129999999999997</v>
      </c>
      <c r="AG39" s="443">
        <v>0.32129999999999997</v>
      </c>
      <c r="AH39" s="462">
        <f>+AF39/AD39</f>
        <v>1.0398058252427185</v>
      </c>
      <c r="AI39" s="30">
        <f>+AG39/AE39</f>
        <v>1.0398058252427185</v>
      </c>
      <c r="AJ39" s="168">
        <f t="shared" si="21"/>
        <v>1.0398058252427185</v>
      </c>
      <c r="AK39" s="70" t="s">
        <v>375</v>
      </c>
      <c r="AL39" s="270" t="s">
        <v>450</v>
      </c>
      <c r="AM39" s="171"/>
    </row>
    <row r="40" spans="1:44" ht="135" x14ac:dyDescent="0.25">
      <c r="A40" s="446"/>
      <c r="B40" s="579" t="s">
        <v>34</v>
      </c>
      <c r="C40" s="369" t="s">
        <v>111</v>
      </c>
      <c r="D40" s="46" t="s">
        <v>101</v>
      </c>
      <c r="E40" s="59" t="s">
        <v>130</v>
      </c>
      <c r="F40" s="46" t="s">
        <v>211</v>
      </c>
      <c r="G40" s="454" t="s">
        <v>34</v>
      </c>
      <c r="H40" s="46" t="s">
        <v>191</v>
      </c>
      <c r="I40" s="46" t="s">
        <v>177</v>
      </c>
      <c r="J40" s="788" t="s">
        <v>190</v>
      </c>
      <c r="K40" s="59" t="s">
        <v>183</v>
      </c>
      <c r="L40" s="10">
        <v>0.29899999999999999</v>
      </c>
      <c r="M40" s="168">
        <v>0.217</v>
      </c>
      <c r="N40" s="47">
        <v>0.23799999999999999</v>
      </c>
      <c r="O40" s="21">
        <v>0.2326</v>
      </c>
      <c r="P40" s="123">
        <f>+O40/N40</f>
        <v>0.97731092436974798</v>
      </c>
      <c r="Q40" s="158">
        <v>0.25800000000000001</v>
      </c>
      <c r="R40" s="48">
        <v>0.25800000000000001</v>
      </c>
      <c r="S40" s="13">
        <v>0.29870000000000002</v>
      </c>
      <c r="T40" s="13">
        <v>0.29870000000000002</v>
      </c>
      <c r="U40" s="30">
        <f>+S40/Q40</f>
        <v>1.1577519379844963</v>
      </c>
      <c r="V40" s="30">
        <f>+T40/R40</f>
        <v>1.1577519379844963</v>
      </c>
      <c r="W40" s="181">
        <v>0.27900000000000003</v>
      </c>
      <c r="X40" s="34">
        <v>0.27900000000000003</v>
      </c>
      <c r="Y40" s="52">
        <v>0.2084</v>
      </c>
      <c r="Z40" s="52">
        <v>0.2084</v>
      </c>
      <c r="AA40" s="281">
        <f>+Y40/W40</f>
        <v>0.74695340501792107</v>
      </c>
      <c r="AB40" s="30">
        <f>+Z40/X40</f>
        <v>0.74695340501792107</v>
      </c>
      <c r="AC40" s="123" t="s">
        <v>115</v>
      </c>
      <c r="AD40" s="252">
        <v>0.29899999999999999</v>
      </c>
      <c r="AE40" s="243">
        <f t="shared" si="19"/>
        <v>0.29899999999999999</v>
      </c>
      <c r="AF40" s="171">
        <v>0.2084</v>
      </c>
      <c r="AG40" s="171">
        <v>0.2084</v>
      </c>
      <c r="AH40" s="462">
        <f>+AF40/AD40</f>
        <v>0.69698996655518397</v>
      </c>
      <c r="AI40" s="30">
        <f>+AG40/AE40</f>
        <v>0.69698996655518397</v>
      </c>
      <c r="AJ40" s="168">
        <f t="shared" si="21"/>
        <v>0.69698996655518397</v>
      </c>
      <c r="AK40" s="70" t="s">
        <v>375</v>
      </c>
      <c r="AL40" s="270" t="s">
        <v>451</v>
      </c>
      <c r="AM40" s="171"/>
    </row>
    <row r="41" spans="1:44" ht="135" x14ac:dyDescent="0.25">
      <c r="A41" s="446" t="s">
        <v>379</v>
      </c>
      <c r="B41" s="578" t="s">
        <v>35</v>
      </c>
      <c r="C41" s="367" t="s">
        <v>111</v>
      </c>
      <c r="D41" s="46" t="s">
        <v>101</v>
      </c>
      <c r="E41" s="59" t="s">
        <v>130</v>
      </c>
      <c r="F41" s="46" t="s">
        <v>212</v>
      </c>
      <c r="G41" s="455" t="s">
        <v>35</v>
      </c>
      <c r="H41" s="46" t="s">
        <v>185</v>
      </c>
      <c r="I41" s="46" t="s">
        <v>177</v>
      </c>
      <c r="J41" s="788" t="s">
        <v>187</v>
      </c>
      <c r="K41" s="59" t="s">
        <v>197</v>
      </c>
      <c r="L41" s="29">
        <v>20</v>
      </c>
      <c r="M41" s="200">
        <v>27</v>
      </c>
      <c r="N41" s="49">
        <v>26</v>
      </c>
      <c r="O41" s="17">
        <v>24</v>
      </c>
      <c r="P41" s="123">
        <f>(M41-O41)/(M41-N41)</f>
        <v>3</v>
      </c>
      <c r="Q41" s="160">
        <v>24</v>
      </c>
      <c r="R41" s="232">
        <v>24</v>
      </c>
      <c r="S41" s="491">
        <v>26.11</v>
      </c>
      <c r="T41" s="20">
        <v>26.11</v>
      </c>
      <c r="U41" s="437">
        <f>+(M41-S41)/(M41-Q41)</f>
        <v>0.29666666666666686</v>
      </c>
      <c r="V41" s="442">
        <f>+(M41-T41)/(M41-L41)</f>
        <v>0.12714285714285722</v>
      </c>
      <c r="W41" s="56">
        <v>22</v>
      </c>
      <c r="X41" s="36">
        <v>22</v>
      </c>
      <c r="Y41" s="53">
        <v>22.98</v>
      </c>
      <c r="Z41" s="53">
        <v>22.98</v>
      </c>
      <c r="AA41" s="30">
        <f>+(M41-Y41)/(M41-W41)</f>
        <v>0.80399999999999994</v>
      </c>
      <c r="AB41" s="30">
        <f>(M41-Z41)/(M41-X41)</f>
        <v>0.80399999999999994</v>
      </c>
      <c r="AC41" s="123" t="s">
        <v>115</v>
      </c>
      <c r="AD41" s="255">
        <v>20</v>
      </c>
      <c r="AE41" s="35">
        <f t="shared" si="19"/>
        <v>20</v>
      </c>
      <c r="AF41" s="720">
        <v>23.49</v>
      </c>
      <c r="AG41" s="720">
        <f>+AF41</f>
        <v>23.49</v>
      </c>
      <c r="AH41" s="463">
        <f>(M41-AF41)/(M41-AD41)</f>
        <v>0.50142857142857167</v>
      </c>
      <c r="AI41" s="30">
        <f>+(M41-AG41)/(M41-AE41)</f>
        <v>0.50142857142857167</v>
      </c>
      <c r="AJ41" s="168">
        <f t="shared" si="21"/>
        <v>0.50142857142857167</v>
      </c>
      <c r="AK41" s="70" t="s">
        <v>447</v>
      </c>
      <c r="AL41" s="270" t="s">
        <v>448</v>
      </c>
      <c r="AM41" s="165"/>
    </row>
    <row r="42" spans="1:44" ht="150" x14ac:dyDescent="0.25">
      <c r="A42" s="446" t="s">
        <v>428</v>
      </c>
      <c r="B42" s="749" t="s">
        <v>36</v>
      </c>
      <c r="C42" s="369" t="s">
        <v>111</v>
      </c>
      <c r="D42" s="46" t="s">
        <v>101</v>
      </c>
      <c r="E42" s="59" t="s">
        <v>127</v>
      </c>
      <c r="F42" s="46" t="s">
        <v>211</v>
      </c>
      <c r="G42" s="4" t="s">
        <v>36</v>
      </c>
      <c r="H42" s="46" t="s">
        <v>185</v>
      </c>
      <c r="I42" s="46" t="s">
        <v>177</v>
      </c>
      <c r="J42" s="788" t="s">
        <v>190</v>
      </c>
      <c r="K42" s="59" t="s">
        <v>183</v>
      </c>
      <c r="L42" s="37">
        <v>0.75</v>
      </c>
      <c r="M42" s="168">
        <v>0.53100000000000003</v>
      </c>
      <c r="N42" s="85">
        <v>0.58599999999999997</v>
      </c>
      <c r="O42" s="38">
        <v>0.52769999999999995</v>
      </c>
      <c r="P42" s="249">
        <f>+O42/N42</f>
        <v>0.90051194539249146</v>
      </c>
      <c r="Q42" s="220">
        <v>0.64100000000000001</v>
      </c>
      <c r="R42" s="48">
        <v>0.64100000000000001</v>
      </c>
      <c r="S42" s="32">
        <v>0.57650000000000001</v>
      </c>
      <c r="T42" s="39">
        <v>0.57650000000000001</v>
      </c>
      <c r="U42" s="30">
        <f>+S42/Q42</f>
        <v>0.89937597503900157</v>
      </c>
      <c r="V42" s="30">
        <f>+T42/R42</f>
        <v>0.89937597503900157</v>
      </c>
      <c r="W42" s="158">
        <v>0.69599999999999995</v>
      </c>
      <c r="X42" s="48">
        <v>0.69599999999999995</v>
      </c>
      <c r="Y42" s="330">
        <f>+S42</f>
        <v>0.57650000000000001</v>
      </c>
      <c r="Z42" s="464">
        <f>+Y42</f>
        <v>0.57650000000000001</v>
      </c>
      <c r="AA42" s="281">
        <f>+Y42/W42</f>
        <v>0.8283045977011495</v>
      </c>
      <c r="AB42" s="30">
        <f>+Z42/X42</f>
        <v>0.8283045977011495</v>
      </c>
      <c r="AC42" s="123" t="s">
        <v>427</v>
      </c>
      <c r="AD42" s="252">
        <v>0.75</v>
      </c>
      <c r="AE42" s="244">
        <f t="shared" si="19"/>
        <v>0.75</v>
      </c>
      <c r="AF42" s="461">
        <f>+Y42</f>
        <v>0.57650000000000001</v>
      </c>
      <c r="AG42" s="461">
        <f>+AF42</f>
        <v>0.57650000000000001</v>
      </c>
      <c r="AH42" s="462">
        <f>+AF42/AD42</f>
        <v>0.76866666666666672</v>
      </c>
      <c r="AI42" s="281">
        <f>+AG42/AE42</f>
        <v>0.76866666666666672</v>
      </c>
      <c r="AJ42" s="168">
        <f t="shared" si="21"/>
        <v>0.76866666666666672</v>
      </c>
      <c r="AK42" s="745" t="s">
        <v>458</v>
      </c>
      <c r="AL42" s="270"/>
      <c r="AM42" s="175"/>
    </row>
    <row r="43" spans="1:44" ht="75" x14ac:dyDescent="0.25">
      <c r="B43" s="576" t="s">
        <v>157</v>
      </c>
      <c r="C43" s="196" t="s">
        <v>111</v>
      </c>
      <c r="D43" s="46" t="s">
        <v>101</v>
      </c>
      <c r="E43" s="59" t="s">
        <v>127</v>
      </c>
      <c r="F43" s="46" t="s">
        <v>212</v>
      </c>
      <c r="G43" s="455" t="s">
        <v>157</v>
      </c>
      <c r="H43" s="46" t="s">
        <v>175</v>
      </c>
      <c r="I43" s="46" t="s">
        <v>177</v>
      </c>
      <c r="J43" s="788" t="s">
        <v>184</v>
      </c>
      <c r="K43" s="59" t="s">
        <v>183</v>
      </c>
      <c r="L43" s="289" t="s">
        <v>264</v>
      </c>
      <c r="M43" s="168">
        <v>0.29399999999999998</v>
      </c>
      <c r="N43" s="212" t="s">
        <v>262</v>
      </c>
      <c r="O43" s="673">
        <v>0.317</v>
      </c>
      <c r="P43" s="123">
        <f>+(31.7%-29.4%)/(31.2%-29.4%)</f>
        <v>1.2777777777777777</v>
      </c>
      <c r="Q43" s="158" t="s">
        <v>268</v>
      </c>
      <c r="R43" s="230" t="s">
        <v>263</v>
      </c>
      <c r="S43" s="15">
        <v>0.40799999999999997</v>
      </c>
      <c r="T43" s="22">
        <v>0.40799999999999997</v>
      </c>
      <c r="U43" s="30">
        <f>+(S43-M43)/(33%-M43)</f>
        <v>3.1666666666666634</v>
      </c>
      <c r="V43" s="30">
        <f>+(S43-M43)/(38%-M43)</f>
        <v>1.3255813953488367</v>
      </c>
      <c r="W43" s="158" t="s">
        <v>267</v>
      </c>
      <c r="X43" s="93" t="s">
        <v>269</v>
      </c>
      <c r="Y43" s="44" t="s">
        <v>414</v>
      </c>
      <c r="Z43" s="44" t="s">
        <v>414</v>
      </c>
      <c r="AA43" s="281">
        <f>+(43.48%-M43)/(36.6%-M43)</f>
        <v>1.955555555555555</v>
      </c>
      <c r="AB43" s="281">
        <f>+(43.48%-M43)/(38%-M43)</f>
        <v>1.6372093023255807</v>
      </c>
      <c r="AC43" s="123" t="s">
        <v>115</v>
      </c>
      <c r="AD43" s="72" t="s">
        <v>265</v>
      </c>
      <c r="AE43" s="288" t="s">
        <v>266</v>
      </c>
      <c r="AF43" s="443">
        <v>0.43480000000000002</v>
      </c>
      <c r="AG43" s="443">
        <f>+AF43</f>
        <v>0.43480000000000002</v>
      </c>
      <c r="AH43" s="462">
        <f>+(AF43-M43)/(38%-M43)</f>
        <v>1.6372093023255814</v>
      </c>
      <c r="AI43" s="281">
        <f>+(AG43-M43)/(38%-M43)</f>
        <v>1.6372093023255814</v>
      </c>
      <c r="AJ43" s="168">
        <f t="shared" si="21"/>
        <v>1.6372093023255814</v>
      </c>
      <c r="AK43" s="70" t="s">
        <v>449</v>
      </c>
      <c r="AL43" s="271" t="s">
        <v>429</v>
      </c>
      <c r="AM43" s="171"/>
      <c r="AP43" s="155"/>
    </row>
    <row r="44" spans="1:44" ht="90" x14ac:dyDescent="0.25">
      <c r="B44" s="576" t="s">
        <v>38</v>
      </c>
      <c r="C44" s="369" t="s">
        <v>111</v>
      </c>
      <c r="D44" s="46" t="s">
        <v>101</v>
      </c>
      <c r="E44" s="59" t="s">
        <v>127</v>
      </c>
      <c r="F44" s="46" t="s">
        <v>211</v>
      </c>
      <c r="G44" s="4" t="s">
        <v>38</v>
      </c>
      <c r="H44" s="46" t="s">
        <v>191</v>
      </c>
      <c r="I44" s="46" t="s">
        <v>177</v>
      </c>
      <c r="J44" s="788" t="s">
        <v>184</v>
      </c>
      <c r="K44" s="59" t="s">
        <v>183</v>
      </c>
      <c r="L44" s="9">
        <v>0.22</v>
      </c>
      <c r="M44" s="168">
        <v>0</v>
      </c>
      <c r="N44" s="47">
        <v>0.05</v>
      </c>
      <c r="O44" s="13">
        <v>7.0000000000000007E-2</v>
      </c>
      <c r="P44" s="123">
        <f>+(O44-M44)/(N44-M44)</f>
        <v>1.4000000000000001</v>
      </c>
      <c r="Q44" s="158">
        <v>0.09</v>
      </c>
      <c r="R44" s="48">
        <v>0.09</v>
      </c>
      <c r="S44" s="15">
        <v>0.105</v>
      </c>
      <c r="T44" s="22">
        <v>0.105</v>
      </c>
      <c r="U44" s="30">
        <f>+(S44-M44)/(Q44-M44)</f>
        <v>1.1666666666666667</v>
      </c>
      <c r="V44" s="30">
        <f>+(T44-M44)/(L44-M44)</f>
        <v>0.47727272727272724</v>
      </c>
      <c r="W44" s="181">
        <v>0.15</v>
      </c>
      <c r="X44" s="34">
        <v>0.15</v>
      </c>
      <c r="Y44" s="40">
        <v>0.14000000000000001</v>
      </c>
      <c r="Z44" s="40">
        <v>0.14000000000000001</v>
      </c>
      <c r="AA44" s="281">
        <f>+(Y44-M44)/(W44-M44)</f>
        <v>0.93333333333333346</v>
      </c>
      <c r="AB44" s="30">
        <f>+(Z44-M44)/(X44-M44)</f>
        <v>0.93333333333333346</v>
      </c>
      <c r="AC44" s="123" t="s">
        <v>115</v>
      </c>
      <c r="AD44" s="252">
        <v>0.22</v>
      </c>
      <c r="AE44" s="241">
        <f>+L44</f>
        <v>0.22</v>
      </c>
      <c r="AF44" s="174">
        <v>0.18</v>
      </c>
      <c r="AG44" s="174">
        <f>+AF44</f>
        <v>0.18</v>
      </c>
      <c r="AH44" s="462">
        <f>+(AF44-M44)/(AD44-M44)</f>
        <v>0.81818181818181812</v>
      </c>
      <c r="AI44" s="30">
        <f>+(AF44-M44)/(AE44-M44)</f>
        <v>0.81818181818181812</v>
      </c>
      <c r="AJ44" s="168">
        <f t="shared" si="21"/>
        <v>0.81818181818181812</v>
      </c>
      <c r="AK44" s="70" t="s">
        <v>447</v>
      </c>
      <c r="AL44" s="270"/>
      <c r="AM44" s="174"/>
    </row>
    <row r="45" spans="1:44" ht="105" x14ac:dyDescent="0.25">
      <c r="A45" s="446" t="s">
        <v>380</v>
      </c>
      <c r="B45" s="577" t="s">
        <v>39</v>
      </c>
      <c r="C45" s="369" t="s">
        <v>111</v>
      </c>
      <c r="D45" s="46" t="s">
        <v>101</v>
      </c>
      <c r="E45" s="59" t="s">
        <v>127</v>
      </c>
      <c r="F45" s="46" t="s">
        <v>211</v>
      </c>
      <c r="G45" s="4" t="s">
        <v>39</v>
      </c>
      <c r="H45" s="46" t="s">
        <v>175</v>
      </c>
      <c r="I45" s="46" t="s">
        <v>177</v>
      </c>
      <c r="J45" s="788" t="s">
        <v>188</v>
      </c>
      <c r="K45" s="59" t="s">
        <v>198</v>
      </c>
      <c r="L45" s="29">
        <v>8000</v>
      </c>
      <c r="M45" s="202">
        <v>5703</v>
      </c>
      <c r="N45" s="49">
        <v>1000</v>
      </c>
      <c r="O45" s="27">
        <v>1263</v>
      </c>
      <c r="P45" s="123">
        <f>+O45/N45</f>
        <v>1.2629999999999999</v>
      </c>
      <c r="Q45" s="372">
        <v>2335</v>
      </c>
      <c r="R45" s="55">
        <f>+N45+Q45</f>
        <v>3335</v>
      </c>
      <c r="S45" s="29">
        <v>3713</v>
      </c>
      <c r="T45" s="27">
        <f>+S45+O45</f>
        <v>4976</v>
      </c>
      <c r="U45" s="30">
        <f>+S45/Q45</f>
        <v>1.5901498929336189</v>
      </c>
      <c r="V45" s="123">
        <f>+T45/$R45</f>
        <v>1.4920539730134932</v>
      </c>
      <c r="W45" s="373">
        <v>2367</v>
      </c>
      <c r="X45" s="27">
        <f>+R45+W45</f>
        <v>5702</v>
      </c>
      <c r="Y45" s="66">
        <v>2365</v>
      </c>
      <c r="Z45" s="66">
        <f>+T45+Y45</f>
        <v>7341</v>
      </c>
      <c r="AA45" s="30">
        <f>+Y45/W45</f>
        <v>0.99915504858470638</v>
      </c>
      <c r="AB45" s="30">
        <f>+Z45/$X45</f>
        <v>1.2874430024552788</v>
      </c>
      <c r="AC45" s="123" t="s">
        <v>115</v>
      </c>
      <c r="AD45" s="254">
        <v>2298</v>
      </c>
      <c r="AE45" s="35">
        <f>+X45+AD45</f>
        <v>8000</v>
      </c>
      <c r="AF45" s="165">
        <v>1905</v>
      </c>
      <c r="AG45" s="165">
        <f>+Z45+AF45</f>
        <v>9246</v>
      </c>
      <c r="AH45" s="30">
        <f>+AF45/AD45</f>
        <v>0.82898172323759789</v>
      </c>
      <c r="AI45" s="463">
        <f>+AG45/AE45</f>
        <v>1.1557500000000001</v>
      </c>
      <c r="AJ45" s="168">
        <f t="shared" si="21"/>
        <v>1.1557500000000001</v>
      </c>
      <c r="AK45" s="70" t="s">
        <v>447</v>
      </c>
      <c r="AL45" s="270"/>
      <c r="AM45" s="165"/>
    </row>
    <row r="46" spans="1:44" ht="165" x14ac:dyDescent="0.25">
      <c r="A46" s="446" t="s">
        <v>381</v>
      </c>
      <c r="B46" s="578" t="s">
        <v>40</v>
      </c>
      <c r="C46" s="367" t="s">
        <v>111</v>
      </c>
      <c r="D46" s="46" t="s">
        <v>101</v>
      </c>
      <c r="E46" s="59" t="s">
        <v>127</v>
      </c>
      <c r="F46" s="46" t="s">
        <v>211</v>
      </c>
      <c r="G46" s="4" t="s">
        <v>40</v>
      </c>
      <c r="H46" s="46" t="s">
        <v>191</v>
      </c>
      <c r="I46" s="46" t="s">
        <v>177</v>
      </c>
      <c r="J46" s="788" t="s">
        <v>190</v>
      </c>
      <c r="K46" s="59" t="s">
        <v>183</v>
      </c>
      <c r="L46" s="189">
        <v>0.12</v>
      </c>
      <c r="M46" s="201">
        <v>9.4E-2</v>
      </c>
      <c r="N46" s="47">
        <v>0.10050000000000001</v>
      </c>
      <c r="O46" s="13">
        <v>9.0999999999999998E-2</v>
      </c>
      <c r="P46" s="123">
        <f>+O46/N46</f>
        <v>0.90547263681592027</v>
      </c>
      <c r="Q46" s="158">
        <v>0.1069</v>
      </c>
      <c r="R46" s="48">
        <v>0.1069</v>
      </c>
      <c r="S46" s="13">
        <v>0.10050000000000001</v>
      </c>
      <c r="T46" s="13">
        <v>0.10050000000000001</v>
      </c>
      <c r="U46" s="437">
        <f>+S46/Q46</f>
        <v>0.94013096351730596</v>
      </c>
      <c r="V46" s="442">
        <f>+T46/$R46</f>
        <v>0.94013096351730596</v>
      </c>
      <c r="W46" s="125">
        <v>0.1132</v>
      </c>
      <c r="X46" s="34">
        <v>0.1132</v>
      </c>
      <c r="Y46" s="457">
        <f>+S46</f>
        <v>0.10050000000000001</v>
      </c>
      <c r="Z46" s="457">
        <f>+Y46</f>
        <v>0.10050000000000001</v>
      </c>
      <c r="AA46" s="30">
        <f>+Y46/W46</f>
        <v>0.88780918727915203</v>
      </c>
      <c r="AB46" s="30">
        <f>+Z46/$X46</f>
        <v>0.88780918727915203</v>
      </c>
      <c r="AC46" s="123" t="s">
        <v>311</v>
      </c>
      <c r="AD46" s="256">
        <v>0.12</v>
      </c>
      <c r="AE46" s="243">
        <f t="shared" ref="AE46:AE57" si="22">+L46</f>
        <v>0.12</v>
      </c>
      <c r="AF46" s="370">
        <f>+Z46</f>
        <v>0.10050000000000001</v>
      </c>
      <c r="AG46" s="370">
        <f>+AF46</f>
        <v>0.10050000000000001</v>
      </c>
      <c r="AH46" s="462">
        <f>+AF46/AD46</f>
        <v>0.83750000000000013</v>
      </c>
      <c r="AI46" s="30">
        <f>+AG46/AE46</f>
        <v>0.83750000000000013</v>
      </c>
      <c r="AJ46" s="168">
        <f t="shared" si="21"/>
        <v>0.83750000000000013</v>
      </c>
      <c r="AK46" s="70" t="s">
        <v>376</v>
      </c>
      <c r="AL46" s="270"/>
      <c r="AM46" s="171"/>
    </row>
    <row r="47" spans="1:44" ht="90" x14ac:dyDescent="0.25">
      <c r="A47" s="446"/>
      <c r="B47" s="579" t="s">
        <v>41</v>
      </c>
      <c r="C47" s="369" t="s">
        <v>111</v>
      </c>
      <c r="D47" s="46" t="s">
        <v>101</v>
      </c>
      <c r="E47" s="59" t="s">
        <v>130</v>
      </c>
      <c r="F47" s="46" t="s">
        <v>212</v>
      </c>
      <c r="G47" s="455" t="s">
        <v>41</v>
      </c>
      <c r="H47" s="46" t="s">
        <v>175</v>
      </c>
      <c r="I47" s="59" t="s">
        <v>199</v>
      </c>
      <c r="J47" s="788" t="s">
        <v>184</v>
      </c>
      <c r="K47" s="59" t="s">
        <v>200</v>
      </c>
      <c r="L47" s="29">
        <v>4350</v>
      </c>
      <c r="M47" s="200">
        <v>2889</v>
      </c>
      <c r="N47" s="49">
        <v>3400</v>
      </c>
      <c r="O47" s="16">
        <v>3842</v>
      </c>
      <c r="P47" s="123">
        <f>+O47/N47</f>
        <v>1.1299999999999999</v>
      </c>
      <c r="Q47" s="160">
        <v>3700</v>
      </c>
      <c r="R47" s="233">
        <v>3700</v>
      </c>
      <c r="S47" s="760">
        <v>4128</v>
      </c>
      <c r="T47" s="29">
        <f>+S47</f>
        <v>4128</v>
      </c>
      <c r="U47" s="30">
        <f>+S47/Q47</f>
        <v>1.1156756756756756</v>
      </c>
      <c r="V47" s="30">
        <f>+(T47-M47)/(L47-M47)</f>
        <v>0.84804928131416835</v>
      </c>
      <c r="W47" s="161">
        <v>4000</v>
      </c>
      <c r="X47" s="36">
        <v>4000</v>
      </c>
      <c r="Y47" s="107">
        <v>4059</v>
      </c>
      <c r="Z47" s="107">
        <v>4059</v>
      </c>
      <c r="AA47" s="281">
        <f>+Y47/W47</f>
        <v>1.01475</v>
      </c>
      <c r="AB47" s="30">
        <f>+Z47/$X47</f>
        <v>1.01475</v>
      </c>
      <c r="AC47" s="123" t="s">
        <v>115</v>
      </c>
      <c r="AD47" s="255">
        <v>4350</v>
      </c>
      <c r="AE47" s="35">
        <f t="shared" si="22"/>
        <v>4350</v>
      </c>
      <c r="AF47" s="165">
        <v>4138</v>
      </c>
      <c r="AG47" s="165">
        <f>+AF47</f>
        <v>4138</v>
      </c>
      <c r="AH47" s="463">
        <f>+AF47/AD47</f>
        <v>0.95126436781609192</v>
      </c>
      <c r="AI47" s="30">
        <f>+(AG47-M47)/(L47-M47)</f>
        <v>0.85489390828199863</v>
      </c>
      <c r="AJ47" s="168">
        <f t="shared" si="21"/>
        <v>0.85489390828199863</v>
      </c>
      <c r="AK47" s="745" t="s">
        <v>455</v>
      </c>
      <c r="AL47" s="270"/>
      <c r="AM47" s="165"/>
    </row>
    <row r="48" spans="1:44" ht="45" x14ac:dyDescent="0.25">
      <c r="A48" s="446"/>
      <c r="B48" s="579" t="s">
        <v>42</v>
      </c>
      <c r="C48" s="369" t="s">
        <v>111</v>
      </c>
      <c r="D48" s="46" t="s">
        <v>101</v>
      </c>
      <c r="E48" s="59" t="s">
        <v>127</v>
      </c>
      <c r="F48" s="46" t="s">
        <v>212</v>
      </c>
      <c r="G48" s="455" t="s">
        <v>42</v>
      </c>
      <c r="H48" s="46" t="s">
        <v>185</v>
      </c>
      <c r="I48" s="46" t="s">
        <v>177</v>
      </c>
      <c r="J48" s="788" t="s">
        <v>184</v>
      </c>
      <c r="K48" s="59" t="s">
        <v>201</v>
      </c>
      <c r="L48" s="10">
        <v>5.6090000000000001E-2</v>
      </c>
      <c r="M48" s="168">
        <v>5.0700000000000002E-2</v>
      </c>
      <c r="N48" s="47">
        <v>5.0709999999999998E-2</v>
      </c>
      <c r="O48" s="32">
        <v>5.4199999999999998E-2</v>
      </c>
      <c r="P48" s="123">
        <f>+(O48-M48)/(N48-M48)</f>
        <v>350.00000000013529</v>
      </c>
      <c r="Q48" s="158">
        <v>5.2449999999999997E-2</v>
      </c>
      <c r="R48" s="48">
        <v>5.2449999999999997E-2</v>
      </c>
      <c r="S48" s="13">
        <v>5.6500000000000002E-2</v>
      </c>
      <c r="T48" s="13">
        <v>5.6500000000000002E-2</v>
      </c>
      <c r="U48" s="30">
        <f>+(S48-M48)/(Q48-M48)</f>
        <v>3.3142857142857243</v>
      </c>
      <c r="V48" s="30">
        <f>+(T48-M48)/(L48-M48)</f>
        <v>1.0760667903525047</v>
      </c>
      <c r="W48" s="181">
        <v>5.3999999999999999E-2</v>
      </c>
      <c r="X48" s="34">
        <v>5.3999999999999999E-2</v>
      </c>
      <c r="Y48" s="44">
        <v>5.67E-2</v>
      </c>
      <c r="Z48" s="44">
        <v>5.67E-2</v>
      </c>
      <c r="AA48" s="281">
        <f>+(Y48-M48)/(W48-M48)</f>
        <v>1.8181818181818192</v>
      </c>
      <c r="AB48" s="281">
        <f>+(Z48-M48)/(L48-M48)</f>
        <v>1.1131725417439702</v>
      </c>
      <c r="AC48" s="123" t="s">
        <v>115</v>
      </c>
      <c r="AD48" s="252">
        <v>5.6099999999999997E-2</v>
      </c>
      <c r="AE48" s="243">
        <f t="shared" si="22"/>
        <v>5.6090000000000001E-2</v>
      </c>
      <c r="AF48" s="171">
        <f>+Y48</f>
        <v>5.67E-2</v>
      </c>
      <c r="AG48" s="171">
        <f>+AF48</f>
        <v>5.67E-2</v>
      </c>
      <c r="AH48" s="462">
        <f>+(AF48-M48)/(AD48-M48)</f>
        <v>1.1111111111111118</v>
      </c>
      <c r="AI48" s="281">
        <f>+(AG48-M48)/(AE48-M48)</f>
        <v>1.1131725417439702</v>
      </c>
      <c r="AJ48" s="168">
        <f t="shared" si="21"/>
        <v>1.1131725417439702</v>
      </c>
      <c r="AK48" s="70" t="s">
        <v>447</v>
      </c>
      <c r="AL48" s="270"/>
      <c r="AM48" s="171"/>
    </row>
    <row r="49" spans="1:39" ht="60" x14ac:dyDescent="0.25">
      <c r="B49" s="576" t="s">
        <v>43</v>
      </c>
      <c r="C49" s="196" t="s">
        <v>111</v>
      </c>
      <c r="D49" s="46" t="s">
        <v>101</v>
      </c>
      <c r="E49" s="59" t="s">
        <v>127</v>
      </c>
      <c r="F49" s="46" t="s">
        <v>212</v>
      </c>
      <c r="G49" s="455" t="s">
        <v>43</v>
      </c>
      <c r="H49" s="46" t="s">
        <v>185</v>
      </c>
      <c r="I49" s="46" t="s">
        <v>177</v>
      </c>
      <c r="J49" s="788" t="s">
        <v>184</v>
      </c>
      <c r="K49" s="59" t="s">
        <v>202</v>
      </c>
      <c r="L49" s="29">
        <v>2720</v>
      </c>
      <c r="M49" s="200">
        <v>2012</v>
      </c>
      <c r="N49" s="49">
        <v>2109</v>
      </c>
      <c r="O49" s="29">
        <v>2027</v>
      </c>
      <c r="P49" s="123">
        <f>+(O49-M49)/(N49-M49)</f>
        <v>0.15463917525773196</v>
      </c>
      <c r="Q49" s="160">
        <v>2230</v>
      </c>
      <c r="R49" s="233">
        <v>2230</v>
      </c>
      <c r="S49" s="29">
        <v>2477</v>
      </c>
      <c r="T49" s="27">
        <v>2477</v>
      </c>
      <c r="U49" s="30">
        <f>+(S49-M49)/(Q49-M49)</f>
        <v>2.1330275229357798</v>
      </c>
      <c r="V49" s="30">
        <f>+(T49-M49)/(L49-M49)</f>
        <v>0.65677966101694918</v>
      </c>
      <c r="W49" s="161">
        <v>2545</v>
      </c>
      <c r="X49" s="36">
        <v>2545</v>
      </c>
      <c r="Y49" s="55">
        <v>2808</v>
      </c>
      <c r="Z49" s="55">
        <v>2808</v>
      </c>
      <c r="AA49" s="281">
        <f>+(Y49-M49)/(W49-M49)</f>
        <v>1.4934333958724202</v>
      </c>
      <c r="AB49" s="281">
        <f>+(Z49-M49)/(L49-M49)</f>
        <v>1.1242937853107344</v>
      </c>
      <c r="AC49" s="123" t="s">
        <v>115</v>
      </c>
      <c r="AD49" s="255">
        <v>2720</v>
      </c>
      <c r="AE49" s="35">
        <f t="shared" si="22"/>
        <v>2720</v>
      </c>
      <c r="AF49" s="447">
        <f>+Y49</f>
        <v>2808</v>
      </c>
      <c r="AG49" s="447">
        <v>2808</v>
      </c>
      <c r="AH49" s="462">
        <f>+(AF49-M49)/(AD49-M49)</f>
        <v>1.1242937853107344</v>
      </c>
      <c r="AI49" s="281">
        <f>+(AG49-M49)/(AE49-M49)</f>
        <v>1.1242937853107344</v>
      </c>
      <c r="AJ49" s="168">
        <f t="shared" si="21"/>
        <v>1.1242937853107344</v>
      </c>
      <c r="AK49" s="70" t="s">
        <v>453</v>
      </c>
      <c r="AL49" s="270"/>
      <c r="AM49" s="165"/>
    </row>
    <row r="50" spans="1:39" ht="120" x14ac:dyDescent="0.25">
      <c r="B50" s="576" t="s">
        <v>44</v>
      </c>
      <c r="C50" s="196" t="s">
        <v>111</v>
      </c>
      <c r="D50" s="46" t="s">
        <v>101</v>
      </c>
      <c r="E50" s="59" t="s">
        <v>129</v>
      </c>
      <c r="F50" s="46" t="s">
        <v>212</v>
      </c>
      <c r="G50" s="455" t="s">
        <v>44</v>
      </c>
      <c r="H50" s="46" t="s">
        <v>175</v>
      </c>
      <c r="I50" s="46" t="s">
        <v>178</v>
      </c>
      <c r="J50" s="788" t="s">
        <v>184</v>
      </c>
      <c r="K50" s="59" t="s">
        <v>193</v>
      </c>
      <c r="L50" s="29">
        <v>1500000</v>
      </c>
      <c r="M50" s="200">
        <v>0</v>
      </c>
      <c r="N50" s="49">
        <v>305516</v>
      </c>
      <c r="O50" s="29">
        <v>316895</v>
      </c>
      <c r="P50" s="123">
        <f>+(O50-M50)/(N50-M50)</f>
        <v>1.0372451851948834</v>
      </c>
      <c r="Q50" s="160">
        <v>687411</v>
      </c>
      <c r="R50" s="144">
        <v>687411</v>
      </c>
      <c r="S50" s="29">
        <v>512169</v>
      </c>
      <c r="T50" s="439">
        <v>512169</v>
      </c>
      <c r="U50" s="30">
        <f>+(S50-M50)/(Q50-M50)</f>
        <v>0.745069543548183</v>
      </c>
      <c r="V50" s="30">
        <f>+(T50-M50)/(L50-M50)</f>
        <v>0.34144600000000003</v>
      </c>
      <c r="W50" s="161">
        <v>1000000</v>
      </c>
      <c r="X50" s="36">
        <v>1000000</v>
      </c>
      <c r="Y50" s="94">
        <v>730411</v>
      </c>
      <c r="Z50" s="374">
        <v>730411</v>
      </c>
      <c r="AA50" s="281">
        <f>+(Y50-M50)/(W50-M50)</f>
        <v>0.73041100000000003</v>
      </c>
      <c r="AB50" s="281">
        <f>+(Z50-M50)/(L50-M50)</f>
        <v>0.48694066666666669</v>
      </c>
      <c r="AC50" s="123" t="s">
        <v>115</v>
      </c>
      <c r="AD50" s="255">
        <v>1500000</v>
      </c>
      <c r="AE50" s="35">
        <f t="shared" si="22"/>
        <v>1500000</v>
      </c>
      <c r="AF50" s="751">
        <v>992888</v>
      </c>
      <c r="AG50" s="165">
        <f>+AF50</f>
        <v>992888</v>
      </c>
      <c r="AH50" s="462">
        <f>+(AF50-M50)/(AD50-M50)</f>
        <v>0.66192533333333337</v>
      </c>
      <c r="AI50" s="281">
        <f>+(AG50-M50)/(AE50-M50)</f>
        <v>0.66192533333333337</v>
      </c>
      <c r="AJ50" s="168">
        <f>+AI50</f>
        <v>0.66192533333333337</v>
      </c>
      <c r="AK50" s="453" t="s">
        <v>454</v>
      </c>
      <c r="AL50" s="270" t="s">
        <v>148</v>
      </c>
      <c r="AM50" s="165"/>
    </row>
    <row r="51" spans="1:39" ht="45" x14ac:dyDescent="0.25">
      <c r="B51" s="576" t="s">
        <v>45</v>
      </c>
      <c r="C51" s="197" t="s">
        <v>112</v>
      </c>
      <c r="D51" s="46" t="s">
        <v>99</v>
      </c>
      <c r="E51" s="59" t="s">
        <v>131</v>
      </c>
      <c r="F51" s="46" t="s">
        <v>212</v>
      </c>
      <c r="G51" s="455" t="s">
        <v>45</v>
      </c>
      <c r="H51" s="46" t="s">
        <v>185</v>
      </c>
      <c r="I51" s="46" t="s">
        <v>177</v>
      </c>
      <c r="J51" s="788" t="s">
        <v>184</v>
      </c>
      <c r="K51" s="59" t="s">
        <v>186</v>
      </c>
      <c r="L51" s="32">
        <v>0.2</v>
      </c>
      <c r="M51" s="203">
        <v>0.14899999999999999</v>
      </c>
      <c r="N51" s="47">
        <v>0.16</v>
      </c>
      <c r="O51" s="32">
        <v>0.157</v>
      </c>
      <c r="P51" s="123">
        <f>+(O51-M51)/(N51-M51)</f>
        <v>0.72727272727272729</v>
      </c>
      <c r="Q51" s="181">
        <v>0.17299999999999999</v>
      </c>
      <c r="R51" s="48">
        <v>0.17299999999999999</v>
      </c>
      <c r="S51" s="32">
        <v>0.16900000000000001</v>
      </c>
      <c r="T51" s="32">
        <v>0.16900000000000001</v>
      </c>
      <c r="U51" s="30">
        <f>+(S51-M51)/(Q51-M51)</f>
        <v>0.83333333333333426</v>
      </c>
      <c r="V51" s="30">
        <f>+(T51-M51)/(L51-M51)</f>
        <v>0.39215686274509826</v>
      </c>
      <c r="W51" s="181">
        <v>0.187</v>
      </c>
      <c r="X51" s="34">
        <v>0.187</v>
      </c>
      <c r="Y51" s="40">
        <v>0.191</v>
      </c>
      <c r="Z51" s="40">
        <v>0.191</v>
      </c>
      <c r="AA51" s="281">
        <f>+(Y51-M51)/(W51-M51)</f>
        <v>1.1052631578947369</v>
      </c>
      <c r="AB51" s="281">
        <f>+(Z51-M51)/(L51-M51)</f>
        <v>0.82352941176470573</v>
      </c>
      <c r="AC51" s="123" t="s">
        <v>115</v>
      </c>
      <c r="AD51" s="259">
        <v>0.2</v>
      </c>
      <c r="AE51" s="33">
        <f t="shared" si="22"/>
        <v>0.2</v>
      </c>
      <c r="AF51" s="370">
        <f>+Y51</f>
        <v>0.191</v>
      </c>
      <c r="AG51" s="370">
        <f>+AF51</f>
        <v>0.191</v>
      </c>
      <c r="AH51" s="462">
        <f>+(AF51-M51)/(AD51-M51)</f>
        <v>0.82352941176470573</v>
      </c>
      <c r="AI51" s="281">
        <f>+(AG51-M51)/(AE51-M51)</f>
        <v>0.82352941176470573</v>
      </c>
      <c r="AJ51" s="168">
        <f t="shared" si="21"/>
        <v>0.82352941176470573</v>
      </c>
      <c r="AK51" s="70" t="s">
        <v>375</v>
      </c>
      <c r="AL51" s="270"/>
      <c r="AM51" s="168"/>
    </row>
    <row r="52" spans="1:39" ht="45" x14ac:dyDescent="0.25">
      <c r="B52" s="474" t="s">
        <v>46</v>
      </c>
      <c r="C52" s="369" t="s">
        <v>112</v>
      </c>
      <c r="D52" s="46" t="s">
        <v>281</v>
      </c>
      <c r="E52" s="59" t="s">
        <v>132</v>
      </c>
      <c r="F52" s="46" t="s">
        <v>211</v>
      </c>
      <c r="G52" s="4" t="s">
        <v>46</v>
      </c>
      <c r="H52" s="46" t="s">
        <v>175</v>
      </c>
      <c r="I52" s="46" t="s">
        <v>203</v>
      </c>
      <c r="J52" s="788" t="s">
        <v>190</v>
      </c>
      <c r="K52" s="59" t="s">
        <v>183</v>
      </c>
      <c r="L52" s="32">
        <v>0.9</v>
      </c>
      <c r="M52" s="168">
        <v>0.68</v>
      </c>
      <c r="N52" s="47">
        <v>0.7</v>
      </c>
      <c r="O52" s="32">
        <v>0.74099999999999999</v>
      </c>
      <c r="P52" s="249">
        <f>+O52/N52</f>
        <v>1.0585714285714287</v>
      </c>
      <c r="Q52" s="181">
        <v>0.76</v>
      </c>
      <c r="R52" s="48">
        <v>0.76</v>
      </c>
      <c r="S52" s="32">
        <v>0.78300000000000003</v>
      </c>
      <c r="T52" s="32">
        <v>0.78300000000000003</v>
      </c>
      <c r="U52" s="30">
        <f>+S52/Q52</f>
        <v>1.0302631578947368</v>
      </c>
      <c r="V52" s="30">
        <f>+T52/R52</f>
        <v>1.0302631578947368</v>
      </c>
      <c r="W52" s="181">
        <v>0.83</v>
      </c>
      <c r="X52" s="34">
        <v>0.83</v>
      </c>
      <c r="Y52" s="44">
        <v>0.62629999999999997</v>
      </c>
      <c r="Z52" s="44">
        <v>0.62629999999999997</v>
      </c>
      <c r="AA52" s="281">
        <f>+Y52/W52</f>
        <v>0.75457831325301206</v>
      </c>
      <c r="AB52" s="30">
        <f>+Z52/X52</f>
        <v>0.75457831325301206</v>
      </c>
      <c r="AC52" s="123" t="s">
        <v>115</v>
      </c>
      <c r="AD52" s="260">
        <v>0.9</v>
      </c>
      <c r="AE52" s="33">
        <f t="shared" si="22"/>
        <v>0.9</v>
      </c>
      <c r="AF52" s="168">
        <v>0.62050000000000005</v>
      </c>
      <c r="AG52" s="168">
        <f>+AF52</f>
        <v>0.62050000000000005</v>
      </c>
      <c r="AH52" s="462">
        <f>+AF52/AD52</f>
        <v>0.68944444444444453</v>
      </c>
      <c r="AI52" s="30">
        <f>+AG52/AE52</f>
        <v>0.68944444444444453</v>
      </c>
      <c r="AJ52" s="168">
        <f t="shared" si="21"/>
        <v>0.68944444444444453</v>
      </c>
      <c r="AK52" s="72" t="s">
        <v>433</v>
      </c>
      <c r="AL52" s="270"/>
      <c r="AM52" s="168"/>
    </row>
    <row r="53" spans="1:39" ht="120" x14ac:dyDescent="0.25">
      <c r="B53" s="576" t="s">
        <v>47</v>
      </c>
      <c r="C53" s="197" t="s">
        <v>112</v>
      </c>
      <c r="D53" s="46" t="s">
        <v>99</v>
      </c>
      <c r="E53" s="59" t="s">
        <v>133</v>
      </c>
      <c r="F53" s="46" t="s">
        <v>211</v>
      </c>
      <c r="G53" s="4" t="s">
        <v>47</v>
      </c>
      <c r="H53" s="46" t="s">
        <v>175</v>
      </c>
      <c r="I53" s="46" t="s">
        <v>180</v>
      </c>
      <c r="J53" s="788" t="s">
        <v>184</v>
      </c>
      <c r="K53" s="59" t="s">
        <v>193</v>
      </c>
      <c r="L53" s="29">
        <v>2000</v>
      </c>
      <c r="M53" s="200">
        <v>117</v>
      </c>
      <c r="N53" s="49">
        <v>250</v>
      </c>
      <c r="O53" s="16">
        <v>246</v>
      </c>
      <c r="P53" s="123">
        <f>+(O53-M53)/(N53-M53)</f>
        <v>0.96992481203007519</v>
      </c>
      <c r="Q53" s="161">
        <v>500</v>
      </c>
      <c r="R53" s="82">
        <v>500</v>
      </c>
      <c r="S53" s="29">
        <v>441</v>
      </c>
      <c r="T53" s="16">
        <v>441</v>
      </c>
      <c r="U53" s="30">
        <f>+(S53-M53)/(Q53-M53)</f>
        <v>0.84595300261096606</v>
      </c>
      <c r="V53" s="30">
        <f>+(T53-M53)/(L53-M53)</f>
        <v>0.17206585236325014</v>
      </c>
      <c r="W53" s="161">
        <v>1000</v>
      </c>
      <c r="X53" s="36">
        <v>1000</v>
      </c>
      <c r="Y53" s="63">
        <v>814</v>
      </c>
      <c r="Z53" s="63">
        <f>+Y53</f>
        <v>814</v>
      </c>
      <c r="AA53" s="281">
        <f>+(Y53-M53)/(W53-M53)</f>
        <v>0.78935447338618348</v>
      </c>
      <c r="AB53" s="281">
        <f>+(Z53-M53)/(L53-M53)</f>
        <v>0.37015400955921401</v>
      </c>
      <c r="AC53" s="123" t="s">
        <v>120</v>
      </c>
      <c r="AD53" s="255">
        <v>2000</v>
      </c>
      <c r="AE53" s="35">
        <f t="shared" si="22"/>
        <v>2000</v>
      </c>
      <c r="AF53" s="758">
        <v>858</v>
      </c>
      <c r="AG53" s="165">
        <f>+Z53</f>
        <v>814</v>
      </c>
      <c r="AH53" s="462">
        <f>+(AF53-M53)/(AD53-M53)</f>
        <v>0.39352097716409984</v>
      </c>
      <c r="AI53" s="281">
        <f>+(AG53-M53)/(AE53-M53)</f>
        <v>0.37015400955921401</v>
      </c>
      <c r="AJ53" s="168">
        <f t="shared" si="21"/>
        <v>0.37015400955921401</v>
      </c>
      <c r="AK53" s="73" t="s">
        <v>439</v>
      </c>
      <c r="AL53" s="273"/>
      <c r="AM53" s="165"/>
    </row>
    <row r="54" spans="1:39" ht="60" x14ac:dyDescent="0.25">
      <c r="A54" s="446"/>
      <c r="B54" s="579" t="s">
        <v>48</v>
      </c>
      <c r="C54" s="588" t="s">
        <v>112</v>
      </c>
      <c r="D54" s="46" t="s">
        <v>99</v>
      </c>
      <c r="E54" s="59" t="s">
        <v>134</v>
      </c>
      <c r="F54" s="46" t="s">
        <v>211</v>
      </c>
      <c r="G54" s="4" t="s">
        <v>48</v>
      </c>
      <c r="H54" s="46" t="s">
        <v>191</v>
      </c>
      <c r="I54" s="46" t="s">
        <v>178</v>
      </c>
      <c r="J54" s="788" t="s">
        <v>184</v>
      </c>
      <c r="K54" s="59" t="s">
        <v>183</v>
      </c>
      <c r="L54" s="13">
        <v>0.9</v>
      </c>
      <c r="M54" s="168">
        <v>0.16500000000000001</v>
      </c>
      <c r="N54" s="50">
        <v>0.25</v>
      </c>
      <c r="O54" s="589">
        <v>0.216</v>
      </c>
      <c r="P54" s="123">
        <f>+(O54-M54)/(N54-M54)</f>
        <v>0.6</v>
      </c>
      <c r="Q54" s="159">
        <v>0.4</v>
      </c>
      <c r="R54" s="150">
        <v>0.4</v>
      </c>
      <c r="S54" s="586">
        <v>0.26100000000000001</v>
      </c>
      <c r="T54" s="13">
        <v>0.26100000000000001</v>
      </c>
      <c r="U54" s="30">
        <f>+(S54-M54)/(Q54-M54)</f>
        <v>0.40851063829787232</v>
      </c>
      <c r="V54" s="30">
        <f>+(T54-M54)/(L54-M54)</f>
        <v>0.1306122448979592</v>
      </c>
      <c r="W54" s="159">
        <v>0.6</v>
      </c>
      <c r="X54" s="26">
        <v>0.6</v>
      </c>
      <c r="Y54" s="589">
        <v>0.53129999999999999</v>
      </c>
      <c r="Z54" s="13">
        <v>0.53129999999999999</v>
      </c>
      <c r="AA54" s="281">
        <f>+(Y54-M54)/(W54-M54)</f>
        <v>0.84206896551724142</v>
      </c>
      <c r="AB54" s="30">
        <f>+(Z54-M54)/(L54-M54)</f>
        <v>0.49836734693877549</v>
      </c>
      <c r="AC54" s="123" t="s">
        <v>115</v>
      </c>
      <c r="AD54" s="261">
        <v>0.9</v>
      </c>
      <c r="AE54" s="26">
        <f t="shared" si="22"/>
        <v>0.9</v>
      </c>
      <c r="AF54" s="167">
        <v>0.6</v>
      </c>
      <c r="AG54" s="167">
        <f>+AF54</f>
        <v>0.6</v>
      </c>
      <c r="AH54" s="463">
        <f>+(AF54-M54)/(AD54-M54)</f>
        <v>0.59183673469387743</v>
      </c>
      <c r="AI54" s="30">
        <f>+(AG54-M54)/(L54-M54)</f>
        <v>0.59183673469387743</v>
      </c>
      <c r="AJ54" s="168">
        <f t="shared" si="21"/>
        <v>0.59183673469387743</v>
      </c>
      <c r="AK54" s="74" t="s">
        <v>433</v>
      </c>
      <c r="AL54" s="270"/>
      <c r="AM54" s="167"/>
    </row>
    <row r="55" spans="1:39" ht="120" x14ac:dyDescent="0.25">
      <c r="A55" s="446"/>
      <c r="B55" s="578" t="s">
        <v>49</v>
      </c>
      <c r="C55" s="369" t="s">
        <v>112</v>
      </c>
      <c r="D55" s="46" t="s">
        <v>99</v>
      </c>
      <c r="E55" s="59" t="s">
        <v>131</v>
      </c>
      <c r="F55" s="46" t="s">
        <v>211</v>
      </c>
      <c r="G55" s="4" t="s">
        <v>49</v>
      </c>
      <c r="H55" s="46" t="s">
        <v>185</v>
      </c>
      <c r="I55" s="46" t="s">
        <v>177</v>
      </c>
      <c r="J55" s="788" t="s">
        <v>190</v>
      </c>
      <c r="K55" s="59" t="s">
        <v>183</v>
      </c>
      <c r="L55" s="13">
        <v>0.13200000000000001</v>
      </c>
      <c r="M55" s="168">
        <v>3.4000000000000002E-2</v>
      </c>
      <c r="N55" s="47">
        <v>0.04</v>
      </c>
      <c r="O55" s="13">
        <v>4.7E-2</v>
      </c>
      <c r="P55" s="123">
        <f>+O55/N55</f>
        <v>1.175</v>
      </c>
      <c r="Q55" s="181">
        <v>0.06</v>
      </c>
      <c r="R55" s="48">
        <v>0.06</v>
      </c>
      <c r="S55" s="32">
        <v>2.9000000000000001E-2</v>
      </c>
      <c r="T55" s="14">
        <f>+S55</f>
        <v>2.9000000000000001E-2</v>
      </c>
      <c r="U55" s="30">
        <f>+S55/Q55</f>
        <v>0.48333333333333339</v>
      </c>
      <c r="V55" s="123">
        <f>+T55/$R55</f>
        <v>0.48333333333333339</v>
      </c>
      <c r="W55" s="125">
        <v>0.09</v>
      </c>
      <c r="X55" s="34">
        <v>0.09</v>
      </c>
      <c r="Y55" s="40">
        <v>0.1439</v>
      </c>
      <c r="Z55" s="40">
        <f>+Y55</f>
        <v>0.1439</v>
      </c>
      <c r="AA55" s="30">
        <f>+Y55/W55</f>
        <v>1.598888888888889</v>
      </c>
      <c r="AB55" s="30">
        <f>+Z55/$X55</f>
        <v>1.598888888888889</v>
      </c>
      <c r="AC55" s="123" t="s">
        <v>115</v>
      </c>
      <c r="AD55" s="261">
        <v>0.13200000000000001</v>
      </c>
      <c r="AE55" s="26">
        <f t="shared" si="22"/>
        <v>0.13200000000000001</v>
      </c>
      <c r="AF55" s="445">
        <f t="shared" ref="AF55:AF60" si="23">+Y55</f>
        <v>0.1439</v>
      </c>
      <c r="AG55" s="370">
        <f t="shared" ref="AG55:AG63" si="24">+AF55</f>
        <v>0.1439</v>
      </c>
      <c r="AH55" s="463">
        <f t="shared" ref="AH55:AI58" si="25">+AF55/AD55</f>
        <v>1.0901515151515151</v>
      </c>
      <c r="AI55" s="30">
        <f t="shared" si="25"/>
        <v>1.0901515151515151</v>
      </c>
      <c r="AJ55" s="168">
        <f t="shared" si="21"/>
        <v>1.0901515151515151</v>
      </c>
      <c r="AK55" s="70" t="s">
        <v>449</v>
      </c>
      <c r="AL55" s="270"/>
      <c r="AM55" s="167"/>
    </row>
    <row r="56" spans="1:39" ht="90" x14ac:dyDescent="0.25">
      <c r="A56" s="446" t="s">
        <v>384</v>
      </c>
      <c r="B56" s="578" t="s">
        <v>50</v>
      </c>
      <c r="C56" s="369" t="s">
        <v>112</v>
      </c>
      <c r="D56" s="46" t="s">
        <v>99</v>
      </c>
      <c r="E56" s="59" t="s">
        <v>131</v>
      </c>
      <c r="F56" s="46" t="s">
        <v>211</v>
      </c>
      <c r="G56" s="4" t="s">
        <v>50</v>
      </c>
      <c r="H56" s="46" t="s">
        <v>185</v>
      </c>
      <c r="I56" s="46" t="s">
        <v>177</v>
      </c>
      <c r="J56" s="788" t="s">
        <v>190</v>
      </c>
      <c r="K56" s="59" t="s">
        <v>183</v>
      </c>
      <c r="L56" s="32">
        <v>0.14699999999999999</v>
      </c>
      <c r="M56" s="168">
        <v>9.2999999999999999E-2</v>
      </c>
      <c r="N56" s="47">
        <v>0.105</v>
      </c>
      <c r="O56" s="32">
        <v>0.17</v>
      </c>
      <c r="P56" s="123">
        <f>+O56/N56</f>
        <v>1.6190476190476193</v>
      </c>
      <c r="Q56" s="181">
        <v>0.12</v>
      </c>
      <c r="R56" s="48">
        <v>0.12</v>
      </c>
      <c r="S56" s="32">
        <v>0.128</v>
      </c>
      <c r="T56" s="31">
        <f>+S56</f>
        <v>0.128</v>
      </c>
      <c r="U56" s="30">
        <f>+S56/Q56</f>
        <v>1.0666666666666667</v>
      </c>
      <c r="V56" s="123">
        <f>+T56/$R56</f>
        <v>1.0666666666666667</v>
      </c>
      <c r="W56" s="125">
        <v>0.13</v>
      </c>
      <c r="X56" s="34">
        <v>0.13</v>
      </c>
      <c r="Y56" s="40">
        <v>0.20649999999999999</v>
      </c>
      <c r="Z56" s="40">
        <f>+Y56</f>
        <v>0.20649999999999999</v>
      </c>
      <c r="AA56" s="30">
        <f>+Y56/W56</f>
        <v>1.5884615384615384</v>
      </c>
      <c r="AB56" s="30">
        <f>+Z56/$X56</f>
        <v>1.5884615384615384</v>
      </c>
      <c r="AC56" s="123" t="s">
        <v>115</v>
      </c>
      <c r="AD56" s="261">
        <v>0.14699999999999999</v>
      </c>
      <c r="AE56" s="33">
        <f t="shared" si="22"/>
        <v>0.14699999999999999</v>
      </c>
      <c r="AF56" s="370">
        <f t="shared" si="23"/>
        <v>0.20649999999999999</v>
      </c>
      <c r="AG56" s="370">
        <f t="shared" si="24"/>
        <v>0.20649999999999999</v>
      </c>
      <c r="AH56" s="463">
        <f t="shared" si="25"/>
        <v>1.4047619047619047</v>
      </c>
      <c r="AI56" s="30">
        <f t="shared" si="25"/>
        <v>1.4047619047619047</v>
      </c>
      <c r="AJ56" s="168">
        <f t="shared" si="21"/>
        <v>1.4047619047619047</v>
      </c>
      <c r="AK56" s="745" t="s">
        <v>437</v>
      </c>
      <c r="AL56" s="270"/>
      <c r="AM56" s="168"/>
    </row>
    <row r="57" spans="1:39" ht="105" x14ac:dyDescent="0.25">
      <c r="A57" s="446"/>
      <c r="B57" s="579" t="s">
        <v>51</v>
      </c>
      <c r="C57" s="369" t="s">
        <v>112</v>
      </c>
      <c r="D57" s="46" t="s">
        <v>99</v>
      </c>
      <c r="E57" s="59" t="s">
        <v>131</v>
      </c>
      <c r="F57" s="46" t="s">
        <v>211</v>
      </c>
      <c r="G57" s="455" t="s">
        <v>51</v>
      </c>
      <c r="H57" s="46" t="s">
        <v>185</v>
      </c>
      <c r="I57" s="46" t="s">
        <v>177</v>
      </c>
      <c r="J57" s="788" t="s">
        <v>190</v>
      </c>
      <c r="K57" s="59" t="s">
        <v>183</v>
      </c>
      <c r="L57" s="32">
        <v>0.15</v>
      </c>
      <c r="M57" s="168">
        <v>0.1</v>
      </c>
      <c r="N57" s="47">
        <v>0.112</v>
      </c>
      <c r="O57" s="32">
        <v>0.1</v>
      </c>
      <c r="P57" s="123">
        <f>+O57/N57</f>
        <v>0.8928571428571429</v>
      </c>
      <c r="Q57" s="181">
        <v>0.124</v>
      </c>
      <c r="R57" s="48">
        <v>0.124</v>
      </c>
      <c r="S57" s="30">
        <v>9.11E-2</v>
      </c>
      <c r="T57" s="30">
        <v>9.11E-2</v>
      </c>
      <c r="U57" s="30">
        <f>+S57/Q57</f>
        <v>0.73467741935483877</v>
      </c>
      <c r="V57" s="123">
        <f>+T57/$R57</f>
        <v>0.73467741935483877</v>
      </c>
      <c r="W57" s="125">
        <v>0.13700000000000001</v>
      </c>
      <c r="X57" s="34">
        <v>0.13700000000000001</v>
      </c>
      <c r="Y57" s="40">
        <v>9.0999999999999998E-2</v>
      </c>
      <c r="Z57" s="40">
        <v>9.0999999999999998E-2</v>
      </c>
      <c r="AA57" s="30">
        <f>+Y57/W57</f>
        <v>0.66423357664233573</v>
      </c>
      <c r="AB57" s="30">
        <f>+Z57/$X57</f>
        <v>0.66423357664233573</v>
      </c>
      <c r="AC57" s="123" t="s">
        <v>115</v>
      </c>
      <c r="AD57" s="252">
        <v>0.15</v>
      </c>
      <c r="AE57" s="33">
        <f t="shared" si="22"/>
        <v>0.15</v>
      </c>
      <c r="AF57" s="370">
        <f t="shared" si="23"/>
        <v>9.0999999999999998E-2</v>
      </c>
      <c r="AG57" s="370">
        <f t="shared" si="24"/>
        <v>9.0999999999999998E-2</v>
      </c>
      <c r="AH57" s="463">
        <f t="shared" si="25"/>
        <v>0.60666666666666669</v>
      </c>
      <c r="AI57" s="30">
        <f t="shared" si="25"/>
        <v>0.60666666666666669</v>
      </c>
      <c r="AJ57" s="168">
        <f t="shared" si="21"/>
        <v>0.60666666666666669</v>
      </c>
      <c r="AK57" s="70" t="s">
        <v>444</v>
      </c>
      <c r="AL57" s="270"/>
      <c r="AM57" s="168"/>
    </row>
    <row r="58" spans="1:39" ht="45" x14ac:dyDescent="0.25">
      <c r="B58" s="576" t="s">
        <v>52</v>
      </c>
      <c r="C58" s="197" t="s">
        <v>112</v>
      </c>
      <c r="D58" s="46" t="s">
        <v>99</v>
      </c>
      <c r="E58" s="59" t="s">
        <v>131</v>
      </c>
      <c r="F58" s="46" t="s">
        <v>212</v>
      </c>
      <c r="G58" s="455" t="s">
        <v>52</v>
      </c>
      <c r="H58" s="46" t="s">
        <v>191</v>
      </c>
      <c r="I58" s="46" t="s">
        <v>177</v>
      </c>
      <c r="J58" s="788" t="s">
        <v>190</v>
      </c>
      <c r="K58" s="59" t="s">
        <v>204</v>
      </c>
      <c r="L58" s="29">
        <f>150000</f>
        <v>150000</v>
      </c>
      <c r="M58" s="200">
        <v>168664</v>
      </c>
      <c r="N58" s="49">
        <f>36905</f>
        <v>36905</v>
      </c>
      <c r="O58" s="16">
        <f>6230</f>
        <v>6230</v>
      </c>
      <c r="P58" s="123">
        <f>+O58/N58</f>
        <v>0.16881181411732826</v>
      </c>
      <c r="Q58" s="161">
        <v>73810</v>
      </c>
      <c r="R58" s="82">
        <f>73810</f>
        <v>73810</v>
      </c>
      <c r="S58" s="29">
        <v>10018</v>
      </c>
      <c r="T58" s="64">
        <f>S58</f>
        <v>10018</v>
      </c>
      <c r="U58" s="437">
        <f>+S58/Q58</f>
        <v>0.13572686627828207</v>
      </c>
      <c r="V58" s="442">
        <f>+T58/$R58</f>
        <v>0.13572686627828207</v>
      </c>
      <c r="W58" s="56">
        <f>110715</f>
        <v>110715</v>
      </c>
      <c r="X58" s="36">
        <f>110715</f>
        <v>110715</v>
      </c>
      <c r="Y58" s="371">
        <v>20855</v>
      </c>
      <c r="Z58" s="371">
        <f>Y58</f>
        <v>20855</v>
      </c>
      <c r="AA58" s="30">
        <f>+Y58/W58</f>
        <v>0.18836652666756989</v>
      </c>
      <c r="AB58" s="30">
        <f>+Z58/$X58</f>
        <v>0.18836652666756989</v>
      </c>
      <c r="AC58" s="123" t="s">
        <v>115</v>
      </c>
      <c r="AD58" s="255">
        <v>150000</v>
      </c>
      <c r="AE58" s="35">
        <f>+AD58</f>
        <v>150000</v>
      </c>
      <c r="AF58" s="447">
        <f t="shared" si="23"/>
        <v>20855</v>
      </c>
      <c r="AG58" s="447">
        <f t="shared" si="24"/>
        <v>20855</v>
      </c>
      <c r="AH58" s="462">
        <f t="shared" si="25"/>
        <v>0.13903333333333334</v>
      </c>
      <c r="AI58" s="30">
        <f t="shared" si="25"/>
        <v>0.13903333333333334</v>
      </c>
      <c r="AJ58" s="168">
        <f t="shared" si="21"/>
        <v>0.13903333333333334</v>
      </c>
      <c r="AK58" s="70" t="s">
        <v>437</v>
      </c>
      <c r="AL58" s="270" t="s">
        <v>86</v>
      </c>
      <c r="AM58" s="165"/>
    </row>
    <row r="59" spans="1:39" ht="45" x14ac:dyDescent="0.25">
      <c r="B59" s="576" t="s">
        <v>53</v>
      </c>
      <c r="C59" s="197" t="s">
        <v>112</v>
      </c>
      <c r="D59" s="46" t="s">
        <v>99</v>
      </c>
      <c r="E59" s="59" t="s">
        <v>131</v>
      </c>
      <c r="F59" s="46" t="s">
        <v>211</v>
      </c>
      <c r="G59" s="4" t="s">
        <v>53</v>
      </c>
      <c r="H59" s="46" t="s">
        <v>185</v>
      </c>
      <c r="I59" s="46" t="s">
        <v>177</v>
      </c>
      <c r="J59" s="788" t="s">
        <v>187</v>
      </c>
      <c r="K59" s="59" t="s">
        <v>186</v>
      </c>
      <c r="L59" s="32">
        <v>0.15</v>
      </c>
      <c r="M59" s="168">
        <v>0.19400000000000001</v>
      </c>
      <c r="N59" s="47">
        <v>0.183</v>
      </c>
      <c r="O59" s="32">
        <v>0.183</v>
      </c>
      <c r="P59" s="123">
        <f>(M59-O59)/(M59-N59)</f>
        <v>1</v>
      </c>
      <c r="Q59" s="181">
        <v>0.17199999999999999</v>
      </c>
      <c r="R59" s="48">
        <v>0.17199999999999999</v>
      </c>
      <c r="S59" s="32">
        <v>0.17100000000000001</v>
      </c>
      <c r="T59" s="32">
        <v>0.17100000000000001</v>
      </c>
      <c r="U59" s="437">
        <f>+(M59-S59)/(M59-Q59)</f>
        <v>1.0454545454545443</v>
      </c>
      <c r="V59" s="442">
        <f>+(M59-T59)/(M59-L59)</f>
        <v>0.52272727272727237</v>
      </c>
      <c r="W59" s="125">
        <v>0.161</v>
      </c>
      <c r="X59" s="34">
        <v>0.161</v>
      </c>
      <c r="Y59" s="330">
        <f>+S59</f>
        <v>0.17100000000000001</v>
      </c>
      <c r="Z59" s="330">
        <f>+Y59</f>
        <v>0.17100000000000001</v>
      </c>
      <c r="AA59" s="30">
        <f>+(M59-Y59)/(M59-W59)</f>
        <v>0.69696969696969668</v>
      </c>
      <c r="AB59" s="30">
        <f>(M59-Z59)/(M59-X59)</f>
        <v>0.69696969696969668</v>
      </c>
      <c r="AC59" s="123" t="s">
        <v>312</v>
      </c>
      <c r="AD59" s="259">
        <v>0.15</v>
      </c>
      <c r="AE59" s="33">
        <f>+L59</f>
        <v>0.15</v>
      </c>
      <c r="AF59" s="370">
        <f t="shared" si="23"/>
        <v>0.17100000000000001</v>
      </c>
      <c r="AG59" s="370">
        <f t="shared" si="24"/>
        <v>0.17100000000000001</v>
      </c>
      <c r="AH59" s="463">
        <f>(M59-AF59)/(M59-AD59)</f>
        <v>0.52272727272727237</v>
      </c>
      <c r="AI59" s="30">
        <f>+(M59-AG59)/(M59-AE59)</f>
        <v>0.52272727272727237</v>
      </c>
      <c r="AJ59" s="168">
        <f t="shared" si="21"/>
        <v>0.52272727272727237</v>
      </c>
      <c r="AK59" s="70" t="s">
        <v>376</v>
      </c>
      <c r="AL59" s="273" t="s">
        <v>445</v>
      </c>
      <c r="AM59" s="168"/>
    </row>
    <row r="60" spans="1:39" ht="30" x14ac:dyDescent="0.25">
      <c r="B60" s="576" t="s">
        <v>54</v>
      </c>
      <c r="C60" s="197" t="s">
        <v>112</v>
      </c>
      <c r="D60" s="46" t="s">
        <v>99</v>
      </c>
      <c r="E60" s="59" t="s">
        <v>131</v>
      </c>
      <c r="F60" s="46" t="s">
        <v>211</v>
      </c>
      <c r="G60" s="4" t="s">
        <v>54</v>
      </c>
      <c r="H60" s="46" t="s">
        <v>185</v>
      </c>
      <c r="I60" s="46" t="s">
        <v>177</v>
      </c>
      <c r="J60" s="788" t="s">
        <v>184</v>
      </c>
      <c r="K60" s="59" t="s">
        <v>186</v>
      </c>
      <c r="L60" s="32">
        <v>0.56999999999999995</v>
      </c>
      <c r="M60" s="168">
        <v>0.47799999999999998</v>
      </c>
      <c r="N60" s="47">
        <v>0.48899999999999999</v>
      </c>
      <c r="O60" s="32">
        <v>0.49399999999999999</v>
      </c>
      <c r="P60" s="123">
        <f>+(O60-M60)/(N60-M60)</f>
        <v>1.4545454545454546</v>
      </c>
      <c r="Q60" s="181">
        <v>0.51600000000000001</v>
      </c>
      <c r="R60" s="48">
        <v>0.51600000000000001</v>
      </c>
      <c r="S60" s="32">
        <v>0.51500000000000001</v>
      </c>
      <c r="T60" s="32">
        <v>0.51500000000000001</v>
      </c>
      <c r="U60" s="30">
        <f>+(S60-M60)/(Q60-M60)</f>
        <v>0.97368421052631582</v>
      </c>
      <c r="V60" s="30">
        <f>+(T60-M60)/(L60-M60)</f>
        <v>0.40217391304347877</v>
      </c>
      <c r="W60" s="181">
        <v>0.54300000000000004</v>
      </c>
      <c r="X60" s="34">
        <v>0.54300000000000004</v>
      </c>
      <c r="Y60" s="40">
        <v>0.52800000000000002</v>
      </c>
      <c r="Z60" s="40">
        <v>0.52800000000000002</v>
      </c>
      <c r="AA60" s="281">
        <f>+(Y60-M60)/(W60-M60)</f>
        <v>0.76923076923076927</v>
      </c>
      <c r="AB60" s="30">
        <f>+Z60/$X60</f>
        <v>0.97237569060773477</v>
      </c>
      <c r="AC60" s="123" t="s">
        <v>115</v>
      </c>
      <c r="AD60" s="259">
        <v>0.56999999999999995</v>
      </c>
      <c r="AE60" s="33">
        <f>+L60</f>
        <v>0.56999999999999995</v>
      </c>
      <c r="AF60" s="370">
        <f t="shared" si="23"/>
        <v>0.52800000000000002</v>
      </c>
      <c r="AG60" s="370">
        <f t="shared" si="24"/>
        <v>0.52800000000000002</v>
      </c>
      <c r="AH60" s="463">
        <f>(M60-AF60)/(M60-AD60)</f>
        <v>0.54347826086956585</v>
      </c>
      <c r="AI60" s="30">
        <f>+(M60-AG60)/(M60-AE60)</f>
        <v>0.54347826086956585</v>
      </c>
      <c r="AJ60" s="168">
        <f>+AI60</f>
        <v>0.54347826086956585</v>
      </c>
      <c r="AK60" s="70" t="s">
        <v>437</v>
      </c>
      <c r="AL60" s="270"/>
      <c r="AM60" s="168"/>
    </row>
    <row r="61" spans="1:39" ht="30" x14ac:dyDescent="0.25">
      <c r="B61" s="576" t="s">
        <v>55</v>
      </c>
      <c r="C61" s="197" t="s">
        <v>112</v>
      </c>
      <c r="D61" s="46" t="s">
        <v>99</v>
      </c>
      <c r="E61" s="59" t="s">
        <v>131</v>
      </c>
      <c r="F61" s="46" t="s">
        <v>211</v>
      </c>
      <c r="G61" s="4" t="s">
        <v>55</v>
      </c>
      <c r="H61" s="46" t="s">
        <v>191</v>
      </c>
      <c r="I61" s="46" t="s">
        <v>177</v>
      </c>
      <c r="J61" s="788" t="s">
        <v>190</v>
      </c>
      <c r="K61" s="59" t="s">
        <v>204</v>
      </c>
      <c r="L61" s="29">
        <v>400000</v>
      </c>
      <c r="M61" s="29">
        <v>546631</v>
      </c>
      <c r="N61" s="49">
        <v>92888</v>
      </c>
      <c r="O61" s="16">
        <v>72898</v>
      </c>
      <c r="P61" s="123">
        <f>+O61/N61</f>
        <v>0.78479459133580221</v>
      </c>
      <c r="Q61" s="161">
        <v>185776</v>
      </c>
      <c r="R61" s="82">
        <v>185776</v>
      </c>
      <c r="S61" s="29">
        <v>173782</v>
      </c>
      <c r="T61" s="16">
        <v>173782</v>
      </c>
      <c r="U61" s="437">
        <f>+S61/Q61</f>
        <v>0.93543837740074065</v>
      </c>
      <c r="V61" s="442">
        <f>+T61/$R61</f>
        <v>0.93543837740074065</v>
      </c>
      <c r="W61" s="56">
        <v>278664</v>
      </c>
      <c r="X61" s="36">
        <v>278664</v>
      </c>
      <c r="Y61" s="103">
        <v>225662</v>
      </c>
      <c r="Z61" s="103">
        <v>225662</v>
      </c>
      <c r="AA61" s="30">
        <f>+Y61/W61</f>
        <v>0.80979961530732347</v>
      </c>
      <c r="AB61" s="30">
        <f>+Z61/$X61</f>
        <v>0.80979961530732347</v>
      </c>
      <c r="AC61" s="123" t="s">
        <v>115</v>
      </c>
      <c r="AD61" s="255">
        <v>400000</v>
      </c>
      <c r="AE61" s="35">
        <f>+L61</f>
        <v>400000</v>
      </c>
      <c r="AF61" s="447">
        <f>+Z61</f>
        <v>225662</v>
      </c>
      <c r="AG61" s="447">
        <f t="shared" si="24"/>
        <v>225662</v>
      </c>
      <c r="AH61" s="462">
        <f>+AF61/AD61</f>
        <v>0.56415499999999996</v>
      </c>
      <c r="AI61" s="30">
        <f>+AG61/AE61</f>
        <v>0.56415499999999996</v>
      </c>
      <c r="AJ61" s="168">
        <f t="shared" si="21"/>
        <v>0.56415499999999996</v>
      </c>
      <c r="AK61" s="70" t="s">
        <v>437</v>
      </c>
      <c r="AL61" s="270"/>
      <c r="AM61" s="165"/>
    </row>
    <row r="62" spans="1:39" ht="75" x14ac:dyDescent="0.25">
      <c r="A62" s="446"/>
      <c r="B62" s="579" t="s">
        <v>56</v>
      </c>
      <c r="C62" s="369" t="s">
        <v>112</v>
      </c>
      <c r="D62" s="46" t="s">
        <v>99</v>
      </c>
      <c r="E62" s="59" t="s">
        <v>131</v>
      </c>
      <c r="F62" s="46" t="s">
        <v>212</v>
      </c>
      <c r="G62" s="455" t="s">
        <v>56</v>
      </c>
      <c r="H62" s="46" t="s">
        <v>185</v>
      </c>
      <c r="I62" s="46" t="s">
        <v>177</v>
      </c>
      <c r="J62" s="788" t="s">
        <v>190</v>
      </c>
      <c r="K62" s="59" t="s">
        <v>205</v>
      </c>
      <c r="L62" s="29">
        <v>33</v>
      </c>
      <c r="M62" s="200">
        <v>25</v>
      </c>
      <c r="N62" s="49">
        <v>27</v>
      </c>
      <c r="O62" s="16">
        <v>26</v>
      </c>
      <c r="P62" s="123">
        <f>+O62/N62</f>
        <v>0.96296296296296291</v>
      </c>
      <c r="Q62" s="161">
        <v>29</v>
      </c>
      <c r="R62" s="82">
        <v>29</v>
      </c>
      <c r="S62" s="29">
        <v>25</v>
      </c>
      <c r="T62" s="11">
        <v>25</v>
      </c>
      <c r="U62" s="30">
        <f>+S62/Q62</f>
        <v>0.86206896551724133</v>
      </c>
      <c r="V62" s="123">
        <f>+T62/$R62</f>
        <v>0.86206896551724133</v>
      </c>
      <c r="W62" s="56">
        <v>31</v>
      </c>
      <c r="X62" s="36">
        <v>31</v>
      </c>
      <c r="Y62" s="57">
        <v>26</v>
      </c>
      <c r="Z62" s="57">
        <v>26</v>
      </c>
      <c r="AA62" s="30">
        <f>+Y62/W62</f>
        <v>0.83870967741935487</v>
      </c>
      <c r="AB62" s="30">
        <f>+Z62/$X62</f>
        <v>0.83870967741935487</v>
      </c>
      <c r="AC62" s="123" t="s">
        <v>115</v>
      </c>
      <c r="AD62" s="262">
        <v>33</v>
      </c>
      <c r="AE62" s="35">
        <f>+L62</f>
        <v>33</v>
      </c>
      <c r="AF62" s="447">
        <f>+Y62</f>
        <v>26</v>
      </c>
      <c r="AG62" s="447">
        <f t="shared" si="24"/>
        <v>26</v>
      </c>
      <c r="AH62" s="463">
        <f>+AF62/AD62</f>
        <v>0.78787878787878785</v>
      </c>
      <c r="AI62" s="30">
        <f>+AG62/AE62</f>
        <v>0.78787878787878785</v>
      </c>
      <c r="AJ62" s="168">
        <f t="shared" si="21"/>
        <v>0.78787878787878785</v>
      </c>
      <c r="AK62" s="70" t="s">
        <v>437</v>
      </c>
      <c r="AL62" s="270" t="s">
        <v>87</v>
      </c>
      <c r="AM62" s="165"/>
    </row>
    <row r="63" spans="1:39" ht="150" x14ac:dyDescent="0.25">
      <c r="A63" s="446" t="s">
        <v>385</v>
      </c>
      <c r="B63" s="577" t="s">
        <v>57</v>
      </c>
      <c r="C63" s="497" t="s">
        <v>112</v>
      </c>
      <c r="D63" s="46" t="s">
        <v>99</v>
      </c>
      <c r="E63" s="59" t="s">
        <v>131</v>
      </c>
      <c r="F63" s="46" t="s">
        <v>211</v>
      </c>
      <c r="G63" s="4" t="s">
        <v>57</v>
      </c>
      <c r="H63" s="46" t="s">
        <v>185</v>
      </c>
      <c r="I63" s="46" t="s">
        <v>177</v>
      </c>
      <c r="J63" s="788" t="s">
        <v>187</v>
      </c>
      <c r="K63" s="59" t="s">
        <v>186</v>
      </c>
      <c r="L63" s="32">
        <v>0.08</v>
      </c>
      <c r="M63" s="32">
        <v>0.10100000000000001</v>
      </c>
      <c r="N63" s="47">
        <v>9.7000000000000003E-2</v>
      </c>
      <c r="O63" s="32">
        <v>9.2999999999999999E-2</v>
      </c>
      <c r="P63" s="123">
        <f>(M63-O63)/(M63-N63)</f>
        <v>2</v>
      </c>
      <c r="Q63" s="181">
        <v>9.0999999999999998E-2</v>
      </c>
      <c r="R63" s="48">
        <v>9.0999999999999998E-2</v>
      </c>
      <c r="S63" s="32">
        <v>0.09</v>
      </c>
      <c r="T63" s="32">
        <f>+S63</f>
        <v>0.09</v>
      </c>
      <c r="U63" s="30">
        <f>+(M63-S63)/(M63-Q63)</f>
        <v>1.1000000000000001</v>
      </c>
      <c r="V63" s="123">
        <f>+(M63-T63)/(M63-L63)</f>
        <v>0.52380952380952417</v>
      </c>
      <c r="W63" s="125">
        <v>8.5999999999999993E-2</v>
      </c>
      <c r="X63" s="34">
        <v>8.5999999999999993E-2</v>
      </c>
      <c r="Y63" s="330">
        <f>+T63</f>
        <v>0.09</v>
      </c>
      <c r="Z63" s="330">
        <f>+Y63</f>
        <v>0.09</v>
      </c>
      <c r="AA63" s="32">
        <f>+(M63-Y63)/(M63-W63)</f>
        <v>0.73333333333333328</v>
      </c>
      <c r="AB63" s="30">
        <f>(M63-Z63)/(M63-X63)</f>
        <v>0.73333333333333328</v>
      </c>
      <c r="AC63" s="123" t="s">
        <v>312</v>
      </c>
      <c r="AD63" s="259">
        <v>0.08</v>
      </c>
      <c r="AE63" s="33">
        <f>+L63</f>
        <v>0.08</v>
      </c>
      <c r="AF63" s="370">
        <f>+Y63</f>
        <v>0.09</v>
      </c>
      <c r="AG63" s="370">
        <f t="shared" si="24"/>
        <v>0.09</v>
      </c>
      <c r="AH63" s="463">
        <f>(M63-AF63)/(M63-AD63)</f>
        <v>0.52380952380952417</v>
      </c>
      <c r="AI63" s="30">
        <f>+(M63-AG63)/(M63-AE63)</f>
        <v>0.52380952380952417</v>
      </c>
      <c r="AJ63" s="168">
        <f t="shared" si="21"/>
        <v>0.52380952380952417</v>
      </c>
      <c r="AK63" s="70" t="s">
        <v>376</v>
      </c>
      <c r="AL63" s="270" t="s">
        <v>446</v>
      </c>
      <c r="AM63" s="168"/>
    </row>
    <row r="64" spans="1:39" ht="45" x14ac:dyDescent="0.25">
      <c r="A64" s="446"/>
      <c r="B64" s="579" t="s">
        <v>181</v>
      </c>
      <c r="C64" s="369" t="s">
        <v>112</v>
      </c>
      <c r="D64" s="46" t="s">
        <v>99</v>
      </c>
      <c r="E64" s="59" t="s">
        <v>135</v>
      </c>
      <c r="F64" s="46" t="s">
        <v>212</v>
      </c>
      <c r="G64" s="455" t="s">
        <v>181</v>
      </c>
      <c r="H64" s="46" t="s">
        <v>175</v>
      </c>
      <c r="I64" s="46" t="s">
        <v>180</v>
      </c>
      <c r="J64" s="788" t="s">
        <v>188</v>
      </c>
      <c r="K64" s="59" t="s">
        <v>193</v>
      </c>
      <c r="L64" s="29">
        <v>125000</v>
      </c>
      <c r="M64" s="202">
        <v>23067</v>
      </c>
      <c r="N64" s="49">
        <v>18347</v>
      </c>
      <c r="O64" s="450">
        <v>20313</v>
      </c>
      <c r="P64" s="123">
        <f>+O64/N64</f>
        <v>1.1071564833487764</v>
      </c>
      <c r="Q64" s="161">
        <v>34287</v>
      </c>
      <c r="R64" s="82">
        <f>+N64+Q64</f>
        <v>52634</v>
      </c>
      <c r="S64" s="29">
        <v>22252</v>
      </c>
      <c r="T64" s="16">
        <f>+O64+S64</f>
        <v>42565</v>
      </c>
      <c r="U64" s="30">
        <f>+S64/Q64</f>
        <v>0.64899232945431218</v>
      </c>
      <c r="V64" s="123">
        <f>+T64/$R64</f>
        <v>0.80869779990120449</v>
      </c>
      <c r="W64" s="56">
        <v>36183</v>
      </c>
      <c r="X64" s="36">
        <f>+W64+R64</f>
        <v>88817</v>
      </c>
      <c r="Y64" s="63">
        <v>23777</v>
      </c>
      <c r="Z64" s="63">
        <f>+T64+Y64</f>
        <v>66342</v>
      </c>
      <c r="AA64" s="30">
        <f>+Y64/W64</f>
        <v>0.6571318022275654</v>
      </c>
      <c r="AB64" s="30">
        <f t="shared" ref="AB64:AB71" si="26">+Z64/$X64</f>
        <v>0.74695159710415804</v>
      </c>
      <c r="AC64" s="123" t="s">
        <v>115</v>
      </c>
      <c r="AD64" s="254">
        <v>36183</v>
      </c>
      <c r="AE64" s="35">
        <f>+X64+AD64</f>
        <v>125000</v>
      </c>
      <c r="AF64" s="165">
        <v>20898</v>
      </c>
      <c r="AG64" s="165">
        <f>+Z64+AF64</f>
        <v>87240</v>
      </c>
      <c r="AH64" s="30">
        <f>+AF64/AD64</f>
        <v>0.57756404941547135</v>
      </c>
      <c r="AI64" s="463">
        <f>+AG64/AE64</f>
        <v>0.69791999999999998</v>
      </c>
      <c r="AJ64" s="168">
        <f t="shared" si="21"/>
        <v>0.69791999999999998</v>
      </c>
      <c r="AK64" s="70" t="s">
        <v>441</v>
      </c>
      <c r="AL64" s="270" t="s">
        <v>442</v>
      </c>
      <c r="AM64" s="165"/>
    </row>
    <row r="65" spans="1:39" ht="150" x14ac:dyDescent="0.25">
      <c r="A65" s="446" t="s">
        <v>386</v>
      </c>
      <c r="B65" s="576" t="s">
        <v>59</v>
      </c>
      <c r="C65" s="497" t="s">
        <v>112</v>
      </c>
      <c r="D65" s="46" t="s">
        <v>99</v>
      </c>
      <c r="E65" s="59" t="s">
        <v>135</v>
      </c>
      <c r="F65" s="46" t="s">
        <v>211</v>
      </c>
      <c r="G65" s="4" t="s">
        <v>59</v>
      </c>
      <c r="H65" s="46" t="s">
        <v>191</v>
      </c>
      <c r="I65" s="46" t="s">
        <v>180</v>
      </c>
      <c r="J65" s="788" t="s">
        <v>190</v>
      </c>
      <c r="K65" s="59" t="s">
        <v>183</v>
      </c>
      <c r="L65" s="32">
        <v>0.6</v>
      </c>
      <c r="M65" s="168">
        <v>0.39</v>
      </c>
      <c r="N65" s="47">
        <v>0.45</v>
      </c>
      <c r="O65" s="32">
        <v>0.91600000000000004</v>
      </c>
      <c r="P65" s="123">
        <f>+O65/N65</f>
        <v>2.0355555555555558</v>
      </c>
      <c r="Q65" s="181">
        <v>0.5</v>
      </c>
      <c r="R65" s="48">
        <v>0.5</v>
      </c>
      <c r="S65" s="184">
        <v>0.43740000000000001</v>
      </c>
      <c r="T65" s="31">
        <v>0.4374377507754475</v>
      </c>
      <c r="U65" s="437">
        <f>+S65/Q65</f>
        <v>0.87480000000000002</v>
      </c>
      <c r="V65" s="442">
        <f>+T65/$R65</f>
        <v>0.874875501550895</v>
      </c>
      <c r="W65" s="125">
        <v>0.55000000000000004</v>
      </c>
      <c r="X65" s="34">
        <v>0.55000000000000004</v>
      </c>
      <c r="Y65" s="52">
        <v>0.40200000000000002</v>
      </c>
      <c r="Z65" s="52">
        <v>0.40200000000000002</v>
      </c>
      <c r="AA65" s="30">
        <f>+Y65/W65</f>
        <v>0.73090909090909084</v>
      </c>
      <c r="AB65" s="30">
        <f t="shared" si="26"/>
        <v>0.73090909090909084</v>
      </c>
      <c r="AC65" s="123" t="s">
        <v>115</v>
      </c>
      <c r="AD65" s="259">
        <v>0.6</v>
      </c>
      <c r="AE65" s="33">
        <f>+L65</f>
        <v>0.6</v>
      </c>
      <c r="AF65" s="168">
        <v>0.84440000000000004</v>
      </c>
      <c r="AG65" s="168">
        <f>+AF65</f>
        <v>0.84440000000000004</v>
      </c>
      <c r="AH65" s="462">
        <f>+AF65/AD65</f>
        <v>1.4073333333333335</v>
      </c>
      <c r="AI65" s="30">
        <f>+AG65/AE65</f>
        <v>1.4073333333333335</v>
      </c>
      <c r="AJ65" s="168">
        <f t="shared" si="21"/>
        <v>1.4073333333333335</v>
      </c>
      <c r="AK65" s="75" t="s">
        <v>441</v>
      </c>
      <c r="AL65" s="270"/>
      <c r="AM65" s="168"/>
    </row>
    <row r="66" spans="1:39" ht="45" x14ac:dyDescent="0.25">
      <c r="A66" s="446"/>
      <c r="B66" s="579" t="s">
        <v>60</v>
      </c>
      <c r="C66" s="369" t="s">
        <v>112</v>
      </c>
      <c r="D66" s="46" t="s">
        <v>99</v>
      </c>
      <c r="E66" s="59" t="s">
        <v>131</v>
      </c>
      <c r="F66" s="46" t="s">
        <v>211</v>
      </c>
      <c r="G66" s="4" t="s">
        <v>60</v>
      </c>
      <c r="H66" s="46" t="s">
        <v>175</v>
      </c>
      <c r="I66" s="46" t="s">
        <v>177</v>
      </c>
      <c r="J66" s="788" t="s">
        <v>184</v>
      </c>
      <c r="K66" s="59" t="s">
        <v>198</v>
      </c>
      <c r="L66" s="29">
        <v>11638</v>
      </c>
      <c r="M66" s="204">
        <v>8893</v>
      </c>
      <c r="N66" s="49">
        <v>9500</v>
      </c>
      <c r="O66" s="16">
        <v>9477</v>
      </c>
      <c r="P66" s="123">
        <f>+(O66-M66)/(N66-M66)</f>
        <v>0.96210873146622733</v>
      </c>
      <c r="Q66" s="161">
        <v>10216</v>
      </c>
      <c r="R66" s="82">
        <v>10216</v>
      </c>
      <c r="S66" s="29">
        <v>10843</v>
      </c>
      <c r="T66" s="65">
        <v>10843</v>
      </c>
      <c r="U66" s="30">
        <f>+(S66-M66)/(Q66-M66)</f>
        <v>1.473922902494331</v>
      </c>
      <c r="V66" s="30">
        <f>+(T66-M66)/(L66-M66)</f>
        <v>0.7103825136612022</v>
      </c>
      <c r="W66" s="161">
        <v>10932</v>
      </c>
      <c r="X66" s="36">
        <f>+W66</f>
        <v>10932</v>
      </c>
      <c r="Y66" s="575">
        <v>13415</v>
      </c>
      <c r="Z66" s="575">
        <f>+Y66</f>
        <v>13415</v>
      </c>
      <c r="AA66" s="281">
        <f>+(Y66-M66)/(W66-M66)</f>
        <v>2.2177538008827855</v>
      </c>
      <c r="AB66" s="30">
        <f t="shared" si="26"/>
        <v>1.2271313574826199</v>
      </c>
      <c r="AC66" s="123" t="s">
        <v>115</v>
      </c>
      <c r="AD66" s="263">
        <v>11638</v>
      </c>
      <c r="AE66" s="35">
        <f>+AD66</f>
        <v>11638</v>
      </c>
      <c r="AF66" s="447">
        <f>+Y66</f>
        <v>13415</v>
      </c>
      <c r="AG66" s="447">
        <f t="shared" ref="AG66:AG70" si="27">+AF66</f>
        <v>13415</v>
      </c>
      <c r="AH66" s="463">
        <f>+(AF66-M66)/(AD66-M66)</f>
        <v>1.6473588342440801</v>
      </c>
      <c r="AI66" s="30">
        <f>+(AG66-M66)/(AE66-M66)</f>
        <v>1.6473588342440801</v>
      </c>
      <c r="AJ66" s="168">
        <f t="shared" si="21"/>
        <v>1.6473588342440801</v>
      </c>
      <c r="AK66" s="70" t="s">
        <v>437</v>
      </c>
      <c r="AL66" s="270"/>
      <c r="AM66" s="165"/>
    </row>
    <row r="67" spans="1:39" ht="60" x14ac:dyDescent="0.25">
      <c r="A67" s="446" t="s">
        <v>387</v>
      </c>
      <c r="B67" s="576" t="s">
        <v>61</v>
      </c>
      <c r="C67" s="497" t="s">
        <v>112</v>
      </c>
      <c r="D67" s="46" t="s">
        <v>99</v>
      </c>
      <c r="E67" s="59" t="s">
        <v>131</v>
      </c>
      <c r="F67" s="46" t="s">
        <v>211</v>
      </c>
      <c r="G67" s="4" t="s">
        <v>61</v>
      </c>
      <c r="H67" s="46" t="s">
        <v>175</v>
      </c>
      <c r="I67" s="46" t="s">
        <v>177</v>
      </c>
      <c r="J67" s="788" t="s">
        <v>184</v>
      </c>
      <c r="K67" s="59" t="s">
        <v>206</v>
      </c>
      <c r="L67" s="29">
        <v>25</v>
      </c>
      <c r="M67" s="200">
        <v>0</v>
      </c>
      <c r="N67" s="49">
        <v>4</v>
      </c>
      <c r="O67" s="16">
        <v>12</v>
      </c>
      <c r="P67" s="123">
        <f>+(O67-M67)/(N67-M67)</f>
        <v>3</v>
      </c>
      <c r="Q67" s="161">
        <v>12</v>
      </c>
      <c r="R67" s="82">
        <v>12</v>
      </c>
      <c r="S67" s="29">
        <v>24</v>
      </c>
      <c r="T67" s="11">
        <v>24</v>
      </c>
      <c r="U67" s="30">
        <f>+(S67-M67)/(Q67-M67)</f>
        <v>2</v>
      </c>
      <c r="V67" s="30">
        <f>+(T67-M67)/(L67-M67)</f>
        <v>0.96</v>
      </c>
      <c r="W67" s="161">
        <v>20</v>
      </c>
      <c r="X67" s="36">
        <v>20</v>
      </c>
      <c r="Y67" s="465">
        <f>+S67</f>
        <v>24</v>
      </c>
      <c r="Z67" s="465">
        <f>+Y67</f>
        <v>24</v>
      </c>
      <c r="AA67" s="281">
        <f>+(Y67-M67)/(W67-M67)</f>
        <v>1.2</v>
      </c>
      <c r="AB67" s="30">
        <f t="shared" si="26"/>
        <v>1.2</v>
      </c>
      <c r="AC67" s="123" t="s">
        <v>313</v>
      </c>
      <c r="AD67" s="264">
        <v>25</v>
      </c>
      <c r="AE67" s="35">
        <f>+L67</f>
        <v>25</v>
      </c>
      <c r="AF67" s="447">
        <f>+Y67</f>
        <v>24</v>
      </c>
      <c r="AG67" s="447">
        <f t="shared" si="27"/>
        <v>24</v>
      </c>
      <c r="AH67" s="463">
        <f>(M67-AF67)/(M67-AD67)</f>
        <v>0.96</v>
      </c>
      <c r="AI67" s="30">
        <f>+(M67-AG67)/(M67-AE67)</f>
        <v>0.96</v>
      </c>
      <c r="AJ67" s="168">
        <f>+AI67</f>
        <v>0.96</v>
      </c>
      <c r="AK67" s="70" t="s">
        <v>457</v>
      </c>
      <c r="AL67" s="270"/>
      <c r="AM67" s="165"/>
    </row>
    <row r="68" spans="1:39" ht="45" x14ac:dyDescent="0.25">
      <c r="B68" s="576" t="s">
        <v>62</v>
      </c>
      <c r="C68" s="197" t="s">
        <v>112</v>
      </c>
      <c r="D68" s="46" t="s">
        <v>99</v>
      </c>
      <c r="E68" s="59" t="s">
        <v>131</v>
      </c>
      <c r="F68" s="46" t="s">
        <v>211</v>
      </c>
      <c r="G68" s="4" t="s">
        <v>62</v>
      </c>
      <c r="H68" s="46" t="s">
        <v>191</v>
      </c>
      <c r="I68" s="46" t="s">
        <v>177</v>
      </c>
      <c r="J68" s="788" t="s">
        <v>190</v>
      </c>
      <c r="K68" s="59" t="s">
        <v>207</v>
      </c>
      <c r="L68" s="29">
        <v>40000</v>
      </c>
      <c r="M68" s="200">
        <v>82723</v>
      </c>
      <c r="N68" s="49">
        <v>8000</v>
      </c>
      <c r="O68" s="16">
        <v>28058</v>
      </c>
      <c r="P68" s="123">
        <f>+O68/N68</f>
        <v>3.50725</v>
      </c>
      <c r="Q68" s="161">
        <v>17500</v>
      </c>
      <c r="R68" s="82">
        <v>17500</v>
      </c>
      <c r="S68" s="29">
        <v>55022</v>
      </c>
      <c r="T68" s="27">
        <v>55022</v>
      </c>
      <c r="U68" s="437">
        <f>+S68/Q68</f>
        <v>3.1441142857142856</v>
      </c>
      <c r="V68" s="442">
        <f>+T68/$R68</f>
        <v>3.1441142857142856</v>
      </c>
      <c r="W68" s="56">
        <v>28500</v>
      </c>
      <c r="X68" s="36">
        <v>28500</v>
      </c>
      <c r="Y68" s="581">
        <v>87229</v>
      </c>
      <c r="Z68" s="581">
        <f>+Y68</f>
        <v>87229</v>
      </c>
      <c r="AA68" s="30">
        <f>+Y68/W68</f>
        <v>3.0606666666666666</v>
      </c>
      <c r="AB68" s="30">
        <f t="shared" si="26"/>
        <v>3.0606666666666666</v>
      </c>
      <c r="AC68" s="123" t="s">
        <v>115</v>
      </c>
      <c r="AD68" s="255">
        <v>40000</v>
      </c>
      <c r="AE68" s="35">
        <f>+L68</f>
        <v>40000</v>
      </c>
      <c r="AF68" s="447">
        <f>+Z68</f>
        <v>87229</v>
      </c>
      <c r="AG68" s="447">
        <f t="shared" si="27"/>
        <v>87229</v>
      </c>
      <c r="AH68" s="462">
        <f>+AF68/AD68</f>
        <v>2.1807249999999998</v>
      </c>
      <c r="AI68" s="30">
        <f>+AG68/AE68</f>
        <v>2.1807249999999998</v>
      </c>
      <c r="AJ68" s="168">
        <f t="shared" ref="AJ68:AJ85" si="28">+AI68</f>
        <v>2.1807249999999998</v>
      </c>
      <c r="AK68" s="70" t="s">
        <v>375</v>
      </c>
      <c r="AL68" s="270"/>
      <c r="AM68" s="165"/>
    </row>
    <row r="69" spans="1:39" ht="60" x14ac:dyDescent="0.25">
      <c r="B69" s="576" t="s">
        <v>63</v>
      </c>
      <c r="C69" s="197" t="s">
        <v>112</v>
      </c>
      <c r="D69" s="46" t="s">
        <v>99</v>
      </c>
      <c r="E69" s="59" t="s">
        <v>131</v>
      </c>
      <c r="F69" s="46" t="s">
        <v>211</v>
      </c>
      <c r="G69" s="4" t="s">
        <v>63</v>
      </c>
      <c r="H69" s="46" t="s">
        <v>191</v>
      </c>
      <c r="I69" s="46" t="s">
        <v>177</v>
      </c>
      <c r="J69" s="788" t="s">
        <v>190</v>
      </c>
      <c r="K69" s="59" t="s">
        <v>204</v>
      </c>
      <c r="L69" s="185">
        <v>7000</v>
      </c>
      <c r="M69" s="200">
        <v>14623</v>
      </c>
      <c r="N69" s="49">
        <v>1000</v>
      </c>
      <c r="O69" s="16">
        <v>4633</v>
      </c>
      <c r="P69" s="123">
        <f>+O69/N69</f>
        <v>4.633</v>
      </c>
      <c r="Q69" s="161">
        <v>3000</v>
      </c>
      <c r="R69" s="82">
        <v>3000</v>
      </c>
      <c r="S69" s="29">
        <v>5117</v>
      </c>
      <c r="T69" s="27">
        <v>5117</v>
      </c>
      <c r="U69" s="437">
        <f>+S69/Q69</f>
        <v>1.7056666666666667</v>
      </c>
      <c r="V69" s="442">
        <f>+T69/$R69</f>
        <v>1.7056666666666667</v>
      </c>
      <c r="W69" s="56">
        <v>5000</v>
      </c>
      <c r="X69" s="36">
        <v>5000</v>
      </c>
      <c r="Y69" s="581">
        <v>3244</v>
      </c>
      <c r="Z69" s="581">
        <f>+Y69</f>
        <v>3244</v>
      </c>
      <c r="AA69" s="30">
        <f>+Y69/W69</f>
        <v>0.64880000000000004</v>
      </c>
      <c r="AB69" s="30">
        <f t="shared" si="26"/>
        <v>0.64880000000000004</v>
      </c>
      <c r="AC69" s="123" t="s">
        <v>115</v>
      </c>
      <c r="AD69" s="255">
        <v>7000</v>
      </c>
      <c r="AE69" s="35">
        <f>+L69</f>
        <v>7000</v>
      </c>
      <c r="AF69" s="447">
        <f>+Z69</f>
        <v>3244</v>
      </c>
      <c r="AG69" s="447">
        <f t="shared" si="27"/>
        <v>3244</v>
      </c>
      <c r="AH69" s="462">
        <f>+AF69/AD69</f>
        <v>0.46342857142857141</v>
      </c>
      <c r="AI69" s="30">
        <f>+AG69/AE69</f>
        <v>0.46342857142857141</v>
      </c>
      <c r="AJ69" s="168">
        <f t="shared" si="28"/>
        <v>0.46342857142857141</v>
      </c>
      <c r="AK69" s="70" t="s">
        <v>375</v>
      </c>
      <c r="AL69" s="270"/>
      <c r="AM69" s="165"/>
    </row>
    <row r="70" spans="1:39" ht="120" x14ac:dyDescent="0.25">
      <c r="A70" s="590" t="s">
        <v>388</v>
      </c>
      <c r="B70" s="576" t="s">
        <v>64</v>
      </c>
      <c r="C70" s="497" t="s">
        <v>112</v>
      </c>
      <c r="D70" s="46" t="s">
        <v>99</v>
      </c>
      <c r="E70" s="59" t="s">
        <v>131</v>
      </c>
      <c r="F70" s="46" t="s">
        <v>211</v>
      </c>
      <c r="G70" s="4" t="s">
        <v>64</v>
      </c>
      <c r="H70" s="46" t="s">
        <v>185</v>
      </c>
      <c r="I70" s="46" t="s">
        <v>177</v>
      </c>
      <c r="J70" s="788" t="s">
        <v>184</v>
      </c>
      <c r="K70" s="59" t="s">
        <v>207</v>
      </c>
      <c r="L70" s="190">
        <v>4004</v>
      </c>
      <c r="M70" s="200">
        <v>2709</v>
      </c>
      <c r="N70" s="49">
        <v>3227</v>
      </c>
      <c r="O70" s="16">
        <v>3321</v>
      </c>
      <c r="P70" s="123">
        <f>+(O70-M70)/(N70-M70)</f>
        <v>1.1814671814671815</v>
      </c>
      <c r="Q70" s="161">
        <v>3486</v>
      </c>
      <c r="R70" s="82">
        <v>3486</v>
      </c>
      <c r="S70" s="29">
        <v>7536</v>
      </c>
      <c r="T70" s="27">
        <v>7536</v>
      </c>
      <c r="U70" s="30">
        <f>+(S70-M70)/(Q70-M70)</f>
        <v>6.2123552123552122</v>
      </c>
      <c r="V70" s="30">
        <f>+(T70-M70)/(L70-M70)</f>
        <v>3.7274131274131275</v>
      </c>
      <c r="W70" s="161">
        <v>3745</v>
      </c>
      <c r="X70" s="36">
        <v>3745</v>
      </c>
      <c r="Y70" s="581">
        <v>12456</v>
      </c>
      <c r="Z70" s="581">
        <f>+Y70</f>
        <v>12456</v>
      </c>
      <c r="AA70" s="281">
        <f>+(Y70-M70)/(W70-M70)</f>
        <v>9.4083011583011587</v>
      </c>
      <c r="AB70" s="30">
        <f t="shared" si="26"/>
        <v>3.3260347129506007</v>
      </c>
      <c r="AC70" s="123" t="s">
        <v>115</v>
      </c>
      <c r="AD70" s="265">
        <v>4004</v>
      </c>
      <c r="AE70" s="35">
        <f>+L70</f>
        <v>4004</v>
      </c>
      <c r="AF70" s="447">
        <f>+Y70</f>
        <v>12456</v>
      </c>
      <c r="AG70" s="447">
        <f t="shared" si="27"/>
        <v>12456</v>
      </c>
      <c r="AH70" s="463">
        <f>(M70-AF70)/(M70-AD70)</f>
        <v>7.5266409266409262</v>
      </c>
      <c r="AI70" s="30">
        <f>+(M70-AG70)/(M70-AE70)</f>
        <v>7.5266409266409262</v>
      </c>
      <c r="AJ70" s="168">
        <f t="shared" si="28"/>
        <v>7.5266409266409262</v>
      </c>
      <c r="AK70" s="70" t="s">
        <v>375</v>
      </c>
      <c r="AL70" s="270"/>
      <c r="AM70" s="165"/>
    </row>
    <row r="71" spans="1:39" ht="45" x14ac:dyDescent="0.25">
      <c r="B71" s="576" t="s">
        <v>65</v>
      </c>
      <c r="C71" s="197" t="s">
        <v>112</v>
      </c>
      <c r="D71" s="46" t="s">
        <v>99</v>
      </c>
      <c r="E71" s="59" t="s">
        <v>131</v>
      </c>
      <c r="F71" s="46" t="s">
        <v>212</v>
      </c>
      <c r="G71" s="455" t="s">
        <v>65</v>
      </c>
      <c r="H71" s="46" t="s">
        <v>175</v>
      </c>
      <c r="I71" s="46" t="s">
        <v>177</v>
      </c>
      <c r="J71" s="788" t="s">
        <v>188</v>
      </c>
      <c r="K71" s="59" t="s">
        <v>193</v>
      </c>
      <c r="L71" s="29">
        <v>40000</v>
      </c>
      <c r="M71" s="200">
        <v>0</v>
      </c>
      <c r="N71" s="49">
        <v>10000</v>
      </c>
      <c r="O71" s="16">
        <v>10141</v>
      </c>
      <c r="P71" s="123">
        <f>+O71/N71</f>
        <v>1.0141</v>
      </c>
      <c r="Q71" s="161">
        <v>10000</v>
      </c>
      <c r="R71" s="82">
        <f>+N71+Q71</f>
        <v>20000</v>
      </c>
      <c r="S71" s="29">
        <v>12730</v>
      </c>
      <c r="T71" s="439">
        <f>+O71+S71</f>
        <v>22871</v>
      </c>
      <c r="U71" s="438">
        <f>+S71/Q71</f>
        <v>1.2729999999999999</v>
      </c>
      <c r="V71" s="442">
        <f>+T71/$R71</f>
        <v>1.1435500000000001</v>
      </c>
      <c r="W71" s="56">
        <v>10000</v>
      </c>
      <c r="X71" s="36">
        <f>+R71+W71</f>
        <v>30000</v>
      </c>
      <c r="Y71" s="66">
        <v>9083</v>
      </c>
      <c r="Z71" s="63">
        <f>+T71+Y71</f>
        <v>31954</v>
      </c>
      <c r="AA71" s="30">
        <f>+Y71/W71</f>
        <v>0.9083</v>
      </c>
      <c r="AB71" s="30">
        <f t="shared" si="26"/>
        <v>1.0651333333333333</v>
      </c>
      <c r="AC71" s="123" t="s">
        <v>115</v>
      </c>
      <c r="AD71" s="254">
        <v>10000</v>
      </c>
      <c r="AE71" s="35">
        <f>+X71+AD71</f>
        <v>40000</v>
      </c>
      <c r="AF71" s="165">
        <v>8041</v>
      </c>
      <c r="AG71" s="165">
        <f>+Z71+AF71</f>
        <v>39995</v>
      </c>
      <c r="AH71" s="463">
        <f>+AF71/AD71</f>
        <v>0.80410000000000004</v>
      </c>
      <c r="AI71" s="32">
        <f>+AG71/AE71</f>
        <v>0.99987499999999996</v>
      </c>
      <c r="AJ71" s="168">
        <f t="shared" si="28"/>
        <v>0.99987499999999996</v>
      </c>
      <c r="AK71" s="76" t="s">
        <v>459</v>
      </c>
      <c r="AL71" s="270" t="s">
        <v>460</v>
      </c>
      <c r="AM71" s="165"/>
    </row>
    <row r="72" spans="1:39" ht="195" x14ac:dyDescent="0.25">
      <c r="A72" s="446" t="s">
        <v>309</v>
      </c>
      <c r="B72" s="578" t="s">
        <v>66</v>
      </c>
      <c r="C72" s="367" t="s">
        <v>112</v>
      </c>
      <c r="D72" s="46" t="s">
        <v>99</v>
      </c>
      <c r="E72" s="59" t="s">
        <v>131</v>
      </c>
      <c r="F72" s="46" t="s">
        <v>212</v>
      </c>
      <c r="G72" s="455" t="s">
        <v>66</v>
      </c>
      <c r="H72" s="59" t="s">
        <v>185</v>
      </c>
      <c r="I72" s="46" t="s">
        <v>177</v>
      </c>
      <c r="J72" s="788" t="s">
        <v>182</v>
      </c>
      <c r="K72" s="59" t="s">
        <v>186</v>
      </c>
      <c r="L72" s="32">
        <v>0.05</v>
      </c>
      <c r="M72" s="168">
        <v>0</v>
      </c>
      <c r="N72" s="224">
        <v>0.05</v>
      </c>
      <c r="O72" s="32">
        <v>1.9E-2</v>
      </c>
      <c r="P72" s="451">
        <v>1</v>
      </c>
      <c r="Q72" s="226">
        <v>0.05</v>
      </c>
      <c r="R72" s="228">
        <v>0.05</v>
      </c>
      <c r="S72" s="32">
        <v>1.34E-2</v>
      </c>
      <c r="T72" s="31">
        <v>1.34E-2</v>
      </c>
      <c r="U72" s="448">
        <v>1</v>
      </c>
      <c r="V72" s="123">
        <v>1</v>
      </c>
      <c r="W72" s="151">
        <v>0.05</v>
      </c>
      <c r="X72" s="31">
        <v>0.05</v>
      </c>
      <c r="Y72" s="40">
        <v>2.4299999999999999E-2</v>
      </c>
      <c r="Z72" s="40">
        <v>2.4299999999999999E-2</v>
      </c>
      <c r="AA72" s="448">
        <v>1</v>
      </c>
      <c r="AB72" s="30">
        <v>1</v>
      </c>
      <c r="AC72" s="123" t="s">
        <v>115</v>
      </c>
      <c r="AD72" s="266">
        <v>0.05</v>
      </c>
      <c r="AE72" s="452">
        <f>+L72</f>
        <v>0.05</v>
      </c>
      <c r="AF72" s="168">
        <f>+Y72</f>
        <v>2.4299999999999999E-2</v>
      </c>
      <c r="AG72" s="168">
        <f>+AF72</f>
        <v>2.4299999999999999E-2</v>
      </c>
      <c r="AH72" s="448">
        <v>1</v>
      </c>
      <c r="AI72" s="448">
        <v>1</v>
      </c>
      <c r="AJ72" s="168">
        <f t="shared" si="28"/>
        <v>1</v>
      </c>
      <c r="AK72" s="70" t="s">
        <v>452</v>
      </c>
      <c r="AL72" s="270"/>
      <c r="AM72" s="168"/>
    </row>
    <row r="73" spans="1:39" ht="60" x14ac:dyDescent="0.25">
      <c r="B73" s="576" t="s">
        <v>67</v>
      </c>
      <c r="C73" s="369" t="s">
        <v>112</v>
      </c>
      <c r="D73" s="46" t="s">
        <v>99</v>
      </c>
      <c r="E73" s="59" t="s">
        <v>131</v>
      </c>
      <c r="F73" s="46" t="s">
        <v>211</v>
      </c>
      <c r="G73" s="4" t="s">
        <v>67</v>
      </c>
      <c r="H73" s="46" t="s">
        <v>175</v>
      </c>
      <c r="I73" s="46" t="s">
        <v>177</v>
      </c>
      <c r="J73" s="788" t="s">
        <v>188</v>
      </c>
      <c r="K73" s="59" t="s">
        <v>204</v>
      </c>
      <c r="L73" s="29">
        <v>20</v>
      </c>
      <c r="M73" s="200">
        <v>0</v>
      </c>
      <c r="N73" s="49">
        <v>2</v>
      </c>
      <c r="O73" s="29">
        <v>0</v>
      </c>
      <c r="P73" s="123">
        <f>+O73/N73</f>
        <v>0</v>
      </c>
      <c r="Q73" s="161">
        <v>4</v>
      </c>
      <c r="R73" s="82">
        <f>+N73+Q73</f>
        <v>6</v>
      </c>
      <c r="S73" s="29">
        <f>+T73-O73</f>
        <v>0</v>
      </c>
      <c r="T73" s="11">
        <v>0</v>
      </c>
      <c r="U73" s="437">
        <f>+S73/Q73</f>
        <v>0</v>
      </c>
      <c r="V73" s="442">
        <f>+T73/$R73</f>
        <v>0</v>
      </c>
      <c r="W73" s="56">
        <v>6</v>
      </c>
      <c r="X73" s="36">
        <v>6</v>
      </c>
      <c r="Y73" s="54">
        <v>10</v>
      </c>
      <c r="Z73" s="63">
        <f>+T73+Y73</f>
        <v>10</v>
      </c>
      <c r="AA73" s="30">
        <f>+Y73/W73</f>
        <v>1.6666666666666667</v>
      </c>
      <c r="AB73" s="30">
        <f>+Z73/$X73</f>
        <v>1.6666666666666667</v>
      </c>
      <c r="AC73" s="123" t="s">
        <v>115</v>
      </c>
      <c r="AD73" s="254">
        <v>8</v>
      </c>
      <c r="AE73" s="35">
        <f>+N73+Q73+W73+AD73</f>
        <v>20</v>
      </c>
      <c r="AF73" s="447">
        <v>0</v>
      </c>
      <c r="AG73" s="447">
        <f>+Z73+AF73</f>
        <v>10</v>
      </c>
      <c r="AH73" s="30">
        <f>+AF73/AD73</f>
        <v>0</v>
      </c>
      <c r="AI73" s="463">
        <f>+AG73/AE73</f>
        <v>0.5</v>
      </c>
      <c r="AJ73" s="168">
        <f t="shared" si="28"/>
        <v>0.5</v>
      </c>
      <c r="AK73" s="70" t="s">
        <v>375</v>
      </c>
      <c r="AL73" s="273"/>
      <c r="AM73" s="165"/>
    </row>
    <row r="74" spans="1:39" ht="180" x14ac:dyDescent="0.25">
      <c r="B74" s="576" t="s">
        <v>306</v>
      </c>
      <c r="C74" s="196" t="s">
        <v>110</v>
      </c>
      <c r="D74" s="46" t="s">
        <v>101</v>
      </c>
      <c r="E74" s="59" t="s">
        <v>136</v>
      </c>
      <c r="F74" s="46" t="s">
        <v>211</v>
      </c>
      <c r="G74" s="4" t="s">
        <v>306</v>
      </c>
      <c r="H74" s="46" t="s">
        <v>191</v>
      </c>
      <c r="I74" s="46" t="s">
        <v>177</v>
      </c>
      <c r="J74" s="788" t="s">
        <v>184</v>
      </c>
      <c r="K74" s="59" t="s">
        <v>183</v>
      </c>
      <c r="L74" s="38">
        <v>1</v>
      </c>
      <c r="M74" s="168">
        <v>0</v>
      </c>
      <c r="N74" s="85">
        <v>0</v>
      </c>
      <c r="O74" s="435">
        <v>0</v>
      </c>
      <c r="P74" s="143" t="str">
        <f>IFERROR((O74-M74)/(N74-M74),"N/A")</f>
        <v>N/A</v>
      </c>
      <c r="Q74" s="158">
        <f>+R74-N74</f>
        <v>0.35</v>
      </c>
      <c r="R74" s="48">
        <v>0.35</v>
      </c>
      <c r="S74" s="32">
        <f>+T74-O74</f>
        <v>0.54500000000000004</v>
      </c>
      <c r="T74" s="41">
        <v>0.54500000000000004</v>
      </c>
      <c r="U74" s="30">
        <f>+(S74-M74)/(Q74-M74)</f>
        <v>1.5571428571428574</v>
      </c>
      <c r="V74" s="30">
        <f>+(T74-M74)/(L74-M74)</f>
        <v>0.54500000000000004</v>
      </c>
      <c r="W74" s="158">
        <v>0.7</v>
      </c>
      <c r="X74" s="48">
        <v>0.7</v>
      </c>
      <c r="Y74" s="40">
        <v>0.6</v>
      </c>
      <c r="Z74" s="40">
        <v>0.6</v>
      </c>
      <c r="AA74" s="281">
        <f>+(Y74-M74)/(W74-M74)</f>
        <v>0.85714285714285721</v>
      </c>
      <c r="AB74" s="30">
        <f>+Z74/$X74</f>
        <v>0.85714285714285721</v>
      </c>
      <c r="AC74" s="123" t="s">
        <v>115</v>
      </c>
      <c r="AD74" s="252">
        <v>1</v>
      </c>
      <c r="AE74" s="150">
        <f>+L74</f>
        <v>1</v>
      </c>
      <c r="AF74" s="468">
        <v>0.82</v>
      </c>
      <c r="AG74" s="468">
        <f>+Z74</f>
        <v>0.6</v>
      </c>
      <c r="AH74" s="463">
        <f>(M74-AF74)/(M74-AD74)</f>
        <v>0.82</v>
      </c>
      <c r="AI74" s="30">
        <f>+(M74-AG74)/(M74-AE74)</f>
        <v>0.6</v>
      </c>
      <c r="AJ74" s="168">
        <f t="shared" si="28"/>
        <v>0.6</v>
      </c>
      <c r="AK74" s="70" t="s">
        <v>375</v>
      </c>
      <c r="AL74" s="270" t="s">
        <v>423</v>
      </c>
      <c r="AM74" s="176"/>
    </row>
    <row r="75" spans="1:39" ht="90" x14ac:dyDescent="0.25">
      <c r="B75" s="576" t="s">
        <v>69</v>
      </c>
      <c r="C75" s="196" t="s">
        <v>110</v>
      </c>
      <c r="D75" s="46" t="s">
        <v>101</v>
      </c>
      <c r="E75" s="59" t="s">
        <v>136</v>
      </c>
      <c r="F75" s="46" t="s">
        <v>211</v>
      </c>
      <c r="G75" s="4" t="s">
        <v>69</v>
      </c>
      <c r="H75" s="46" t="s">
        <v>191</v>
      </c>
      <c r="I75" s="46" t="s">
        <v>177</v>
      </c>
      <c r="J75" s="788" t="s">
        <v>184</v>
      </c>
      <c r="K75" s="59" t="s">
        <v>183</v>
      </c>
      <c r="L75" s="38">
        <v>1</v>
      </c>
      <c r="M75" s="205">
        <v>0</v>
      </c>
      <c r="N75" s="85">
        <v>0.05</v>
      </c>
      <c r="O75" s="41">
        <v>0.05</v>
      </c>
      <c r="P75" s="123">
        <f>+(O75-M75)/(N75-M75)</f>
        <v>1</v>
      </c>
      <c r="Q75" s="158">
        <v>0.3</v>
      </c>
      <c r="R75" s="48">
        <v>0.3</v>
      </c>
      <c r="S75" s="32">
        <v>0.15</v>
      </c>
      <c r="T75" s="41">
        <v>0.15</v>
      </c>
      <c r="U75" s="30">
        <f>+(S75-M75)/(Q75-M75)</f>
        <v>0.5</v>
      </c>
      <c r="V75" s="30">
        <f>+(T75-M75)/(L75-M75)</f>
        <v>0.15</v>
      </c>
      <c r="W75" s="158">
        <v>0.5</v>
      </c>
      <c r="X75" s="48">
        <v>0.5</v>
      </c>
      <c r="Y75" s="40">
        <v>0.2</v>
      </c>
      <c r="Z75" s="40">
        <v>0.2</v>
      </c>
      <c r="AA75" s="281">
        <f>+(Y75-M75)/(W75-M75)</f>
        <v>0.4</v>
      </c>
      <c r="AB75" s="30">
        <f>+Z75/$X75</f>
        <v>0.4</v>
      </c>
      <c r="AC75" s="123" t="s">
        <v>115</v>
      </c>
      <c r="AD75" s="252">
        <v>1</v>
      </c>
      <c r="AE75" s="150">
        <f>+L75</f>
        <v>1</v>
      </c>
      <c r="AF75" s="468">
        <v>0.06</v>
      </c>
      <c r="AG75" s="468">
        <f>+Z75</f>
        <v>0.2</v>
      </c>
      <c r="AH75" s="463">
        <f>(M75-AF75)/(M75-AD75)</f>
        <v>0.06</v>
      </c>
      <c r="AI75" s="30">
        <f>+(M75-AG75)/(M75-AE75)</f>
        <v>0.2</v>
      </c>
      <c r="AJ75" s="168">
        <f t="shared" si="28"/>
        <v>0.2</v>
      </c>
      <c r="AK75" s="70" t="s">
        <v>375</v>
      </c>
      <c r="AL75" s="270" t="s">
        <v>424</v>
      </c>
      <c r="AM75" s="176"/>
    </row>
    <row r="76" spans="1:39" s="142" customFormat="1" ht="75" x14ac:dyDescent="0.25">
      <c r="A76" s="446"/>
      <c r="B76" s="579" t="s">
        <v>71</v>
      </c>
      <c r="C76" s="369" t="s">
        <v>110</v>
      </c>
      <c r="D76" s="46" t="s">
        <v>101</v>
      </c>
      <c r="E76" s="59" t="s">
        <v>137</v>
      </c>
      <c r="F76" s="46" t="s">
        <v>211</v>
      </c>
      <c r="G76" s="4" t="s">
        <v>71</v>
      </c>
      <c r="H76" s="46" t="s">
        <v>175</v>
      </c>
      <c r="I76" s="46" t="s">
        <v>177</v>
      </c>
      <c r="J76" s="788" t="s">
        <v>188</v>
      </c>
      <c r="K76" s="59" t="s">
        <v>195</v>
      </c>
      <c r="L76" s="42">
        <v>46000</v>
      </c>
      <c r="M76" s="200">
        <v>43429</v>
      </c>
      <c r="N76" s="493">
        <v>1000</v>
      </c>
      <c r="O76" s="43">
        <v>2458</v>
      </c>
      <c r="P76" s="123">
        <f>+O76/N76</f>
        <v>2.4580000000000002</v>
      </c>
      <c r="Q76" s="494">
        <v>15000</v>
      </c>
      <c r="R76" s="331">
        <f>+N76+Q76</f>
        <v>16000</v>
      </c>
      <c r="S76" s="42">
        <f>+T76-O76</f>
        <v>967</v>
      </c>
      <c r="T76" s="43">
        <v>3425</v>
      </c>
      <c r="U76" s="145">
        <f>+S76/Q76</f>
        <v>6.4466666666666672E-2</v>
      </c>
      <c r="V76" s="143">
        <f>+T76/$R76</f>
        <v>0.21406249999999999</v>
      </c>
      <c r="W76" s="495">
        <v>15000</v>
      </c>
      <c r="X76" s="332">
        <f>+R76+W76</f>
        <v>31000</v>
      </c>
      <c r="Y76" s="43">
        <v>3135</v>
      </c>
      <c r="Z76" s="66">
        <f>+T76+Y76</f>
        <v>6560</v>
      </c>
      <c r="AA76" s="145">
        <f>+Y76/W76</f>
        <v>0.20899999999999999</v>
      </c>
      <c r="AB76" s="145">
        <f>+Z76/$X76</f>
        <v>0.21161290322580645</v>
      </c>
      <c r="AC76" s="143" t="s">
        <v>115</v>
      </c>
      <c r="AD76" s="496">
        <v>15000</v>
      </c>
      <c r="AE76" s="333">
        <f>+N76+Q76+W76+AD76</f>
        <v>46000</v>
      </c>
      <c r="AF76" s="447">
        <v>4175</v>
      </c>
      <c r="AG76" s="447">
        <f>+Z76</f>
        <v>6560</v>
      </c>
      <c r="AH76" s="30">
        <f>+AF76/AD76</f>
        <v>0.27833333333333332</v>
      </c>
      <c r="AI76" s="463">
        <f>+AG76/AE76</f>
        <v>0.14260869565217391</v>
      </c>
      <c r="AJ76" s="168">
        <f t="shared" si="28"/>
        <v>0.14260869565217391</v>
      </c>
      <c r="AK76" s="70" t="s">
        <v>435</v>
      </c>
      <c r="AL76" s="270" t="s">
        <v>436</v>
      </c>
      <c r="AM76" s="172"/>
    </row>
    <row r="77" spans="1:39" ht="105" x14ac:dyDescent="0.25">
      <c r="B77" s="576" t="s">
        <v>75</v>
      </c>
      <c r="C77" s="369" t="s">
        <v>111</v>
      </c>
      <c r="D77" s="46" t="s">
        <v>101</v>
      </c>
      <c r="E77" s="59" t="s">
        <v>138</v>
      </c>
      <c r="F77" s="46" t="s">
        <v>211</v>
      </c>
      <c r="G77" s="4" t="s">
        <v>295</v>
      </c>
      <c r="H77" s="46" t="s">
        <v>175</v>
      </c>
      <c r="I77" s="46" t="s">
        <v>178</v>
      </c>
      <c r="J77" s="788" t="s">
        <v>190</v>
      </c>
      <c r="K77" s="59" t="s">
        <v>209</v>
      </c>
      <c r="L77" s="27">
        <v>95</v>
      </c>
      <c r="M77" s="200">
        <v>94</v>
      </c>
      <c r="N77" s="214">
        <v>94</v>
      </c>
      <c r="O77" s="11">
        <v>12</v>
      </c>
      <c r="P77" s="249">
        <f>+(O77-0)/(N77-0)</f>
        <v>0.1276595744680851</v>
      </c>
      <c r="Q77" s="160">
        <v>95</v>
      </c>
      <c r="R77" s="232">
        <v>95</v>
      </c>
      <c r="S77" s="29">
        <v>88</v>
      </c>
      <c r="T77" s="11">
        <v>88</v>
      </c>
      <c r="U77" s="30">
        <f>+(S77-0)/(Q77-0)</f>
        <v>0.9263157894736842</v>
      </c>
      <c r="V77" s="30">
        <f>+(T77-0)/(L77-0)</f>
        <v>0.9263157894736842</v>
      </c>
      <c r="W77" s="161">
        <v>95</v>
      </c>
      <c r="X77" s="36">
        <v>95</v>
      </c>
      <c r="Y77" s="57">
        <v>73</v>
      </c>
      <c r="Z77" s="57">
        <v>73</v>
      </c>
      <c r="AA77" s="281">
        <f>+(Y77-0)/(W77-0)</f>
        <v>0.76842105263157889</v>
      </c>
      <c r="AB77" s="30">
        <f>+(Z77-0)/(L77-0)</f>
        <v>0.76842105263157889</v>
      </c>
      <c r="AC77" s="123" t="s">
        <v>115</v>
      </c>
      <c r="AD77" s="255">
        <v>95</v>
      </c>
      <c r="AE77" s="36">
        <f>+L77</f>
        <v>95</v>
      </c>
      <c r="AF77" s="746">
        <v>7</v>
      </c>
      <c r="AG77" s="162">
        <f>+Z77</f>
        <v>73</v>
      </c>
      <c r="AH77" s="30">
        <f>+AF77/AD77</f>
        <v>7.3684210526315783E-2</v>
      </c>
      <c r="AI77" s="463">
        <f>+AG77/AE77</f>
        <v>0.76842105263157889</v>
      </c>
      <c r="AJ77" s="168">
        <f>+AI77</f>
        <v>0.76842105263157889</v>
      </c>
      <c r="AK77" s="70" t="s">
        <v>430</v>
      </c>
      <c r="AL77" s="270"/>
      <c r="AM77" s="162"/>
    </row>
    <row r="78" spans="1:39" ht="120" x14ac:dyDescent="0.25">
      <c r="A78" s="446" t="s">
        <v>382</v>
      </c>
      <c r="B78" s="576" t="s">
        <v>76</v>
      </c>
      <c r="C78" s="497" t="s">
        <v>111</v>
      </c>
      <c r="D78" s="46" t="s">
        <v>101</v>
      </c>
      <c r="E78" s="59" t="s">
        <v>138</v>
      </c>
      <c r="F78" s="46" t="s">
        <v>211</v>
      </c>
      <c r="G78" s="4" t="s">
        <v>76</v>
      </c>
      <c r="H78" s="46" t="s">
        <v>175</v>
      </c>
      <c r="I78" s="46" t="s">
        <v>178</v>
      </c>
      <c r="J78" s="788" t="s">
        <v>184</v>
      </c>
      <c r="K78" s="59" t="s">
        <v>183</v>
      </c>
      <c r="L78" s="23">
        <v>0.5</v>
      </c>
      <c r="M78" s="201">
        <v>0</v>
      </c>
      <c r="N78" s="436">
        <v>0</v>
      </c>
      <c r="O78" s="435">
        <v>0</v>
      </c>
      <c r="P78" s="123" t="e">
        <f>+(O78-M78)/(N78-M78)</f>
        <v>#DIV/0!</v>
      </c>
      <c r="Q78" s="182">
        <f>+R78-N78</f>
        <v>0.2</v>
      </c>
      <c r="R78" s="228">
        <v>0.2</v>
      </c>
      <c r="S78" s="469">
        <v>0.03</v>
      </c>
      <c r="T78" s="470">
        <v>0.03</v>
      </c>
      <c r="U78" s="30">
        <f>+(S78-M78)/(Q78-M78)</f>
        <v>0.15</v>
      </c>
      <c r="V78" s="30">
        <f>+(T78-M78)/(L78-M78)</f>
        <v>0.06</v>
      </c>
      <c r="W78" s="181">
        <v>0.3</v>
      </c>
      <c r="X78" s="34">
        <v>0.3</v>
      </c>
      <c r="Y78" s="40">
        <v>0.18</v>
      </c>
      <c r="Z78" s="40">
        <v>0.18</v>
      </c>
      <c r="AA78" s="281">
        <f>+(Y78-M78)/(W78-M78)</f>
        <v>0.6</v>
      </c>
      <c r="AB78" s="30">
        <f t="shared" ref="AB78:AB85" si="29">+Z78/$X78</f>
        <v>0.6</v>
      </c>
      <c r="AC78" s="123" t="s">
        <v>115</v>
      </c>
      <c r="AD78" s="252">
        <v>0.5</v>
      </c>
      <c r="AE78" s="245">
        <f>+L78</f>
        <v>0.5</v>
      </c>
      <c r="AF78" s="177">
        <v>0.32</v>
      </c>
      <c r="AG78" s="177">
        <f>+AF78</f>
        <v>0.32</v>
      </c>
      <c r="AH78" s="30">
        <f>(M78-AF78)/(M78-AD78)</f>
        <v>0.64</v>
      </c>
      <c r="AI78" s="463">
        <f>+(M78-AG78)/(M78-AE78)</f>
        <v>0.64</v>
      </c>
      <c r="AJ78" s="168">
        <f t="shared" si="28"/>
        <v>0.64</v>
      </c>
      <c r="AK78" s="70" t="s">
        <v>432</v>
      </c>
      <c r="AL78" s="270"/>
      <c r="AM78" s="177"/>
    </row>
    <row r="79" spans="1:39" ht="105" x14ac:dyDescent="0.25">
      <c r="B79" s="576" t="s">
        <v>77</v>
      </c>
      <c r="C79" s="196" t="s">
        <v>111</v>
      </c>
      <c r="D79" s="46" t="s">
        <v>101</v>
      </c>
      <c r="E79" s="59" t="s">
        <v>138</v>
      </c>
      <c r="F79" s="46" t="s">
        <v>211</v>
      </c>
      <c r="G79" s="4" t="s">
        <v>77</v>
      </c>
      <c r="H79" s="46" t="s">
        <v>175</v>
      </c>
      <c r="I79" s="46" t="s">
        <v>180</v>
      </c>
      <c r="J79" s="788" t="s">
        <v>184</v>
      </c>
      <c r="K79" s="59" t="s">
        <v>210</v>
      </c>
      <c r="L79" s="27">
        <v>282</v>
      </c>
      <c r="M79" s="202">
        <v>0</v>
      </c>
      <c r="N79" s="49">
        <v>103</v>
      </c>
      <c r="O79" s="20">
        <v>121</v>
      </c>
      <c r="P79" s="123">
        <f>+(O79-M79)/(N79-M79)</f>
        <v>1.174757281553398</v>
      </c>
      <c r="Q79" s="160">
        <v>163</v>
      </c>
      <c r="R79" s="232">
        <v>163</v>
      </c>
      <c r="S79" s="29">
        <v>185</v>
      </c>
      <c r="T79" s="20">
        <v>185</v>
      </c>
      <c r="U79" s="30">
        <f>+(S79-M79)/(Q79-M79)</f>
        <v>1.1349693251533743</v>
      </c>
      <c r="V79" s="30">
        <f>+(T79-M79)/(L79-M79)</f>
        <v>0.65602836879432624</v>
      </c>
      <c r="W79" s="161">
        <v>223</v>
      </c>
      <c r="X79" s="36">
        <v>223</v>
      </c>
      <c r="Y79" s="575">
        <v>269</v>
      </c>
      <c r="Z79" s="575">
        <f>+Y79</f>
        <v>269</v>
      </c>
      <c r="AA79" s="281">
        <f>+(Y79-M79)/(W79-M79)</f>
        <v>1.2062780269058295</v>
      </c>
      <c r="AB79" s="30">
        <f t="shared" si="29"/>
        <v>1.2062780269058295</v>
      </c>
      <c r="AC79" s="123" t="s">
        <v>115</v>
      </c>
      <c r="AD79" s="255">
        <v>282</v>
      </c>
      <c r="AE79" s="36">
        <f>+L79</f>
        <v>282</v>
      </c>
      <c r="AF79" s="449">
        <f>+Y79</f>
        <v>269</v>
      </c>
      <c r="AG79" s="449">
        <f>+AF79</f>
        <v>269</v>
      </c>
      <c r="AH79" s="30">
        <f>(M79-AF79)/(M79-AD79)</f>
        <v>0.95390070921985815</v>
      </c>
      <c r="AI79" s="463">
        <f>+(M79-AG79)/(M79-AE79)</f>
        <v>0.95390070921985815</v>
      </c>
      <c r="AJ79" s="168">
        <f t="shared" si="28"/>
        <v>0.95390070921985815</v>
      </c>
      <c r="AK79" s="70" t="s">
        <v>431</v>
      </c>
      <c r="AL79" s="270"/>
      <c r="AM79" s="162"/>
    </row>
    <row r="80" spans="1:39" ht="150" x14ac:dyDescent="0.25">
      <c r="B80" s="576" t="s">
        <v>78</v>
      </c>
      <c r="C80" s="196" t="s">
        <v>110</v>
      </c>
      <c r="D80" s="46" t="s">
        <v>101</v>
      </c>
      <c r="E80" s="59" t="s">
        <v>126</v>
      </c>
      <c r="F80" s="46" t="s">
        <v>211</v>
      </c>
      <c r="G80" s="4" t="s">
        <v>78</v>
      </c>
      <c r="H80" s="46" t="s">
        <v>175</v>
      </c>
      <c r="I80" s="46" t="s">
        <v>177</v>
      </c>
      <c r="J80" s="788" t="s">
        <v>188</v>
      </c>
      <c r="K80" s="59" t="s">
        <v>183</v>
      </c>
      <c r="L80" s="38">
        <v>1</v>
      </c>
      <c r="M80" s="206" t="s">
        <v>260</v>
      </c>
      <c r="N80" s="215">
        <v>0</v>
      </c>
      <c r="O80" s="88">
        <v>0</v>
      </c>
      <c r="P80" s="123" t="s">
        <v>261</v>
      </c>
      <c r="Q80" s="182">
        <v>0.5</v>
      </c>
      <c r="R80" s="148">
        <v>0.5</v>
      </c>
      <c r="S80" s="146">
        <v>0.5</v>
      </c>
      <c r="T80" s="459">
        <f>+O80+S80</f>
        <v>0.5</v>
      </c>
      <c r="U80" s="438">
        <f>+S80/Q80</f>
        <v>1</v>
      </c>
      <c r="V80" s="442">
        <f>+T80/$R80</f>
        <v>1</v>
      </c>
      <c r="W80" s="127">
        <v>0.5</v>
      </c>
      <c r="X80" s="147">
        <f>+R80+W80</f>
        <v>1</v>
      </c>
      <c r="Y80" s="44">
        <v>0.5</v>
      </c>
      <c r="Z80" s="44">
        <f>+T80+Y80</f>
        <v>1</v>
      </c>
      <c r="AA80" s="30">
        <f>+Y80/W80</f>
        <v>1</v>
      </c>
      <c r="AB80" s="30">
        <f t="shared" si="29"/>
        <v>1</v>
      </c>
      <c r="AC80" s="123" t="s">
        <v>115</v>
      </c>
      <c r="AD80" s="256">
        <v>0</v>
      </c>
      <c r="AE80" s="240">
        <f>+X80+AD80</f>
        <v>1</v>
      </c>
      <c r="AF80" s="297">
        <v>0</v>
      </c>
      <c r="AG80" s="297">
        <v>1</v>
      </c>
      <c r="AH80" s="30" t="e">
        <f>+AF80/AD80</f>
        <v>#DIV/0!</v>
      </c>
      <c r="AI80" s="463">
        <f>+AG80/AE80</f>
        <v>1</v>
      </c>
      <c r="AJ80" s="168">
        <f t="shared" si="28"/>
        <v>1</v>
      </c>
      <c r="AK80" s="70" t="s">
        <v>375</v>
      </c>
      <c r="AL80" s="274"/>
      <c r="AM80" s="176"/>
    </row>
    <row r="81" spans="1:39" ht="90.75" thickBot="1" x14ac:dyDescent="0.3">
      <c r="A81" s="446" t="s">
        <v>383</v>
      </c>
      <c r="B81" s="576" t="s">
        <v>79</v>
      </c>
      <c r="C81" s="591" t="s">
        <v>111</v>
      </c>
      <c r="D81" s="113" t="s">
        <v>101</v>
      </c>
      <c r="E81" s="114" t="s">
        <v>126</v>
      </c>
      <c r="F81" s="113" t="s">
        <v>211</v>
      </c>
      <c r="G81" s="791" t="s">
        <v>79</v>
      </c>
      <c r="H81" s="113" t="s">
        <v>175</v>
      </c>
      <c r="I81" s="113" t="s">
        <v>180</v>
      </c>
      <c r="J81" s="789" t="s">
        <v>184</v>
      </c>
      <c r="K81" s="114" t="s">
        <v>183</v>
      </c>
      <c r="L81" s="116">
        <v>0.84</v>
      </c>
      <c r="M81" s="207">
        <v>0.72</v>
      </c>
      <c r="N81" s="92">
        <v>0.78</v>
      </c>
      <c r="O81" s="58">
        <v>0.77249999999999996</v>
      </c>
      <c r="P81" s="123">
        <f>+(O81-M81)/(N81-M81)</f>
        <v>0.87499999999999911</v>
      </c>
      <c r="Q81" s="183">
        <v>0.79</v>
      </c>
      <c r="R81" s="234">
        <v>0.79</v>
      </c>
      <c r="S81" s="119">
        <v>0.82589999999999997</v>
      </c>
      <c r="T81" s="120">
        <v>0.82589999999999997</v>
      </c>
      <c r="U81" s="30">
        <f>+(S81-M81)/(Q81-M81)</f>
        <v>1.5128571428571413</v>
      </c>
      <c r="V81" s="30">
        <f>+(T81-M81)/(L81-M81)</f>
        <v>0.88249999999999995</v>
      </c>
      <c r="W81" s="441">
        <v>0.81</v>
      </c>
      <c r="X81" s="118">
        <v>0.81</v>
      </c>
      <c r="Y81" s="466">
        <f>+S81</f>
        <v>0.82589999999999997</v>
      </c>
      <c r="Z81" s="466">
        <f>+Y81</f>
        <v>0.82589999999999997</v>
      </c>
      <c r="AA81" s="281">
        <f>+(Y81-M81)/(W81-M81)</f>
        <v>1.1766666666666656</v>
      </c>
      <c r="AB81" s="117">
        <f t="shared" si="29"/>
        <v>1.0196296296296294</v>
      </c>
      <c r="AC81" s="124" t="s">
        <v>313</v>
      </c>
      <c r="AD81" s="268">
        <v>0.84</v>
      </c>
      <c r="AE81" s="164">
        <f>+L81</f>
        <v>0.84</v>
      </c>
      <c r="AF81" s="471">
        <f>+Y81</f>
        <v>0.82589999999999997</v>
      </c>
      <c r="AG81" s="471">
        <f>+AF81</f>
        <v>0.82589999999999997</v>
      </c>
      <c r="AH81" s="30">
        <f>(M81-AF81)/(M81-AD81)</f>
        <v>0.88249999999999995</v>
      </c>
      <c r="AI81" s="463">
        <f>+(M81-AG81)/(M81-AE81)</f>
        <v>0.88249999999999995</v>
      </c>
      <c r="AJ81" s="168">
        <f t="shared" si="28"/>
        <v>0.88249999999999995</v>
      </c>
      <c r="AK81" s="77" t="s">
        <v>376</v>
      </c>
      <c r="AL81" s="275"/>
      <c r="AM81" s="247"/>
    </row>
    <row r="82" spans="1:39" ht="375" x14ac:dyDescent="0.25">
      <c r="A82" s="446" t="s">
        <v>310</v>
      </c>
      <c r="B82" s="446" t="s">
        <v>70</v>
      </c>
      <c r="C82" s="456" t="s">
        <v>112</v>
      </c>
      <c r="D82" s="46" t="s">
        <v>99</v>
      </c>
      <c r="E82" s="59" t="s">
        <v>131</v>
      </c>
      <c r="F82" s="46" t="s">
        <v>211</v>
      </c>
      <c r="G82" s="455" t="s">
        <v>70</v>
      </c>
      <c r="H82" s="46" t="s">
        <v>175</v>
      </c>
      <c r="I82" s="46" t="s">
        <v>177</v>
      </c>
      <c r="J82" s="788" t="s">
        <v>188</v>
      </c>
      <c r="K82" s="59" t="s">
        <v>208</v>
      </c>
      <c r="L82" s="29">
        <v>8000</v>
      </c>
      <c r="M82" s="200">
        <v>1300</v>
      </c>
      <c r="N82" s="49">
        <v>1500</v>
      </c>
      <c r="O82" s="29">
        <v>0</v>
      </c>
      <c r="P82" s="123">
        <f>+O82/N82</f>
        <v>0</v>
      </c>
      <c r="Q82" s="161">
        <v>2000</v>
      </c>
      <c r="R82" s="144">
        <f>+N82+Q82</f>
        <v>3500</v>
      </c>
      <c r="S82" s="27">
        <v>1500</v>
      </c>
      <c r="T82" s="18">
        <f>+O82+S82</f>
        <v>1500</v>
      </c>
      <c r="U82" s="438">
        <f>+S82/Q82</f>
        <v>0.75</v>
      </c>
      <c r="V82" s="442">
        <f>+T82/$R82</f>
        <v>0.42857142857142855</v>
      </c>
      <c r="W82" s="56">
        <v>2000</v>
      </c>
      <c r="X82" s="36">
        <f>+R82+W82</f>
        <v>5500</v>
      </c>
      <c r="Y82" s="374">
        <v>1390</v>
      </c>
      <c r="Z82" s="63">
        <f>+T82+Y82</f>
        <v>2890</v>
      </c>
      <c r="AA82" s="30">
        <f>+Y82/W82</f>
        <v>0.69499999999999995</v>
      </c>
      <c r="AB82" s="30">
        <f t="shared" si="29"/>
        <v>0.52545454545454551</v>
      </c>
      <c r="AC82" s="123" t="s">
        <v>115</v>
      </c>
      <c r="AD82" s="254">
        <v>2500</v>
      </c>
      <c r="AE82" s="35">
        <f>+X82+AD82</f>
        <v>8000</v>
      </c>
      <c r="AF82" s="447">
        <v>1015</v>
      </c>
      <c r="AG82" s="447">
        <f>+Z82</f>
        <v>2890</v>
      </c>
      <c r="AH82" s="30">
        <f t="shared" ref="AH82" si="30">+AF82/AD82</f>
        <v>0.40600000000000003</v>
      </c>
      <c r="AI82" s="463">
        <f>+AG82/AE82</f>
        <v>0.36125000000000002</v>
      </c>
      <c r="AJ82" s="168">
        <f t="shared" si="28"/>
        <v>0.36125000000000002</v>
      </c>
      <c r="AK82" s="70" t="s">
        <v>422</v>
      </c>
      <c r="AL82" s="270"/>
    </row>
    <row r="83" spans="1:39" ht="90" x14ac:dyDescent="0.25">
      <c r="A83" s="141"/>
      <c r="B83" s="474" t="s">
        <v>307</v>
      </c>
      <c r="C83" s="196" t="s">
        <v>110</v>
      </c>
      <c r="D83" s="46" t="s">
        <v>101</v>
      </c>
      <c r="E83" s="59" t="s">
        <v>137</v>
      </c>
      <c r="F83" s="46" t="s">
        <v>211</v>
      </c>
      <c r="G83" s="455" t="s">
        <v>307</v>
      </c>
      <c r="H83" s="59" t="s">
        <v>179</v>
      </c>
      <c r="I83" s="46" t="s">
        <v>178</v>
      </c>
      <c r="J83" s="788" t="s">
        <v>182</v>
      </c>
      <c r="K83" s="59" t="s">
        <v>183</v>
      </c>
      <c r="L83" s="13">
        <v>0.85</v>
      </c>
      <c r="M83" s="206">
        <v>0</v>
      </c>
      <c r="N83" s="224">
        <v>1</v>
      </c>
      <c r="O83" s="458">
        <v>0</v>
      </c>
      <c r="P83" s="123">
        <f>+O83/N83</f>
        <v>0</v>
      </c>
      <c r="Q83" s="227">
        <v>1</v>
      </c>
      <c r="R83" s="228">
        <v>1</v>
      </c>
      <c r="S83" s="13">
        <v>0.04</v>
      </c>
      <c r="T83" s="13">
        <v>0.04</v>
      </c>
      <c r="U83" s="30">
        <f>+S83/Q83</f>
        <v>0.04</v>
      </c>
      <c r="V83" s="123">
        <f>+T83/$R83</f>
        <v>0.04</v>
      </c>
      <c r="W83" s="151">
        <v>0.8</v>
      </c>
      <c r="X83" s="31">
        <v>0.8</v>
      </c>
      <c r="Y83" s="44">
        <v>0.74</v>
      </c>
      <c r="Z83" s="44">
        <f>+Y83</f>
        <v>0.74</v>
      </c>
      <c r="AA83" s="30">
        <f>+Y83/W83</f>
        <v>0.92499999999999993</v>
      </c>
      <c r="AB83" s="30">
        <f t="shared" si="29"/>
        <v>0.92499999999999993</v>
      </c>
      <c r="AC83" s="123" t="s">
        <v>115</v>
      </c>
      <c r="AD83" s="267">
        <v>0.85</v>
      </c>
      <c r="AE83" s="26">
        <f>+L83</f>
        <v>0.85</v>
      </c>
      <c r="AF83" s="445">
        <f>+Z83</f>
        <v>0.74</v>
      </c>
      <c r="AG83" s="445">
        <f>+AF83</f>
        <v>0.74</v>
      </c>
      <c r="AH83" s="30">
        <f>+AF83/AD83</f>
        <v>0.87058823529411766</v>
      </c>
      <c r="AI83" s="463">
        <f>+AG83/AE83</f>
        <v>0.87058823529411766</v>
      </c>
      <c r="AJ83" s="168">
        <f t="shared" si="28"/>
        <v>0.87058823529411766</v>
      </c>
      <c r="AK83" s="70" t="s">
        <v>375</v>
      </c>
      <c r="AL83" s="270"/>
    </row>
    <row r="84" spans="1:39" ht="120" x14ac:dyDescent="0.25">
      <c r="A84" s="141"/>
      <c r="B84" s="474" t="s">
        <v>73</v>
      </c>
      <c r="C84" s="196" t="s">
        <v>110</v>
      </c>
      <c r="D84" s="46" t="s">
        <v>101</v>
      </c>
      <c r="E84" s="59" t="s">
        <v>137</v>
      </c>
      <c r="F84" s="46" t="s">
        <v>211</v>
      </c>
      <c r="G84" s="455" t="s">
        <v>73</v>
      </c>
      <c r="H84" s="59" t="s">
        <v>179</v>
      </c>
      <c r="I84" s="46" t="s">
        <v>178</v>
      </c>
      <c r="J84" s="788" t="s">
        <v>182</v>
      </c>
      <c r="K84" s="59" t="s">
        <v>183</v>
      </c>
      <c r="L84" s="38">
        <v>1</v>
      </c>
      <c r="M84" s="206">
        <v>0</v>
      </c>
      <c r="N84" s="225">
        <v>1</v>
      </c>
      <c r="O84" s="87">
        <v>0</v>
      </c>
      <c r="P84" s="123">
        <f>+O84/N84</f>
        <v>0</v>
      </c>
      <c r="Q84" s="227">
        <v>1</v>
      </c>
      <c r="R84" s="228">
        <v>1</v>
      </c>
      <c r="S84" s="38">
        <v>7.0000000000000007E-2</v>
      </c>
      <c r="T84" s="38">
        <v>7.0000000000000007E-2</v>
      </c>
      <c r="U84" s="30">
        <f>+S84/Q84</f>
        <v>7.0000000000000007E-2</v>
      </c>
      <c r="V84" s="123">
        <f>+T84/$R84</f>
        <v>7.0000000000000007E-2</v>
      </c>
      <c r="W84" s="152">
        <v>1</v>
      </c>
      <c r="X84" s="40">
        <v>1</v>
      </c>
      <c r="Y84" s="44">
        <v>0.2</v>
      </c>
      <c r="Z84" s="44">
        <v>0.2</v>
      </c>
      <c r="AA84" s="30">
        <f>+Y84/W84</f>
        <v>0.2</v>
      </c>
      <c r="AB84" s="30">
        <f t="shared" si="29"/>
        <v>0.2</v>
      </c>
      <c r="AC84" s="123" t="s">
        <v>115</v>
      </c>
      <c r="AD84" s="267">
        <v>1</v>
      </c>
      <c r="AE84" s="150">
        <f>+L84</f>
        <v>1</v>
      </c>
      <c r="AF84" s="176">
        <v>0.24</v>
      </c>
      <c r="AG84" s="176">
        <f>+AF84</f>
        <v>0.24</v>
      </c>
      <c r="AH84" s="30">
        <f>+AF84/AD84</f>
        <v>0.24</v>
      </c>
      <c r="AI84" s="463">
        <f>+AG84/AE84</f>
        <v>0.24</v>
      </c>
      <c r="AJ84" s="168">
        <f t="shared" si="28"/>
        <v>0.24</v>
      </c>
      <c r="AK84" s="70" t="s">
        <v>425</v>
      </c>
      <c r="AL84" s="270"/>
      <c r="AM84" s="176"/>
    </row>
    <row r="85" spans="1:39" ht="120" x14ac:dyDescent="0.25">
      <c r="B85" s="446" t="s">
        <v>74</v>
      </c>
      <c r="C85" s="196" t="s">
        <v>110</v>
      </c>
      <c r="D85" s="46" t="s">
        <v>101</v>
      </c>
      <c r="E85" s="59" t="s">
        <v>137</v>
      </c>
      <c r="F85" s="46" t="s">
        <v>211</v>
      </c>
      <c r="G85" s="455" t="s">
        <v>74</v>
      </c>
      <c r="H85" s="59" t="s">
        <v>179</v>
      </c>
      <c r="I85" s="46" t="s">
        <v>180</v>
      </c>
      <c r="J85" s="788" t="s">
        <v>182</v>
      </c>
      <c r="K85" s="59" t="s">
        <v>183</v>
      </c>
      <c r="L85" s="38">
        <v>1</v>
      </c>
      <c r="M85" s="206" t="s">
        <v>260</v>
      </c>
      <c r="N85" s="225">
        <v>1</v>
      </c>
      <c r="O85" s="45">
        <v>0.23</v>
      </c>
      <c r="P85" s="123">
        <f t="shared" ref="P85" si="31">+O85/N85</f>
        <v>0.23</v>
      </c>
      <c r="Q85" s="227">
        <v>1</v>
      </c>
      <c r="R85" s="228">
        <v>1</v>
      </c>
      <c r="S85" s="45">
        <v>0.24</v>
      </c>
      <c r="T85" s="45">
        <v>0.24</v>
      </c>
      <c r="U85" s="437">
        <f>+S85/Q85</f>
        <v>0.24</v>
      </c>
      <c r="V85" s="442">
        <f>+T85/$R85</f>
        <v>0.24</v>
      </c>
      <c r="W85" s="152">
        <v>1</v>
      </c>
      <c r="X85" s="40">
        <v>1</v>
      </c>
      <c r="Y85" s="457">
        <f>+S85</f>
        <v>0.24</v>
      </c>
      <c r="Z85" s="457">
        <f>+Y85</f>
        <v>0.24</v>
      </c>
      <c r="AA85" s="30">
        <f>+Y85/W85</f>
        <v>0.24</v>
      </c>
      <c r="AB85" s="30">
        <f t="shared" si="29"/>
        <v>0.24</v>
      </c>
      <c r="AC85" s="123" t="s">
        <v>313</v>
      </c>
      <c r="AD85" s="267">
        <v>1</v>
      </c>
      <c r="AE85" s="150">
        <f>+L85</f>
        <v>1</v>
      </c>
      <c r="AF85" s="468">
        <f>+Y85</f>
        <v>0.24</v>
      </c>
      <c r="AG85" s="468">
        <f>+AF85</f>
        <v>0.24</v>
      </c>
      <c r="AH85" s="30">
        <f t="shared" ref="AH85" si="32">+AF85/AD85</f>
        <v>0.24</v>
      </c>
      <c r="AI85" s="463">
        <f t="shared" ref="AI85" si="33">+AG85/AE85</f>
        <v>0.24</v>
      </c>
      <c r="AJ85" s="168">
        <f t="shared" si="28"/>
        <v>0.24</v>
      </c>
      <c r="AK85" s="70" t="s">
        <v>415</v>
      </c>
      <c r="AL85" s="270" t="s">
        <v>98</v>
      </c>
      <c r="AM85" s="176"/>
    </row>
    <row r="86" spans="1:39" x14ac:dyDescent="0.25">
      <c r="M86" s="572"/>
      <c r="N86" s="293"/>
      <c r="O86" s="587"/>
      <c r="AD86" s="574"/>
      <c r="AF86" s="571"/>
      <c r="AI86" s="672"/>
      <c r="AJ86" s="672"/>
      <c r="AK86" s="672"/>
    </row>
    <row r="87" spans="1:39" x14ac:dyDescent="0.25">
      <c r="M87" s="572"/>
      <c r="T87" s="292"/>
      <c r="Z87" s="759"/>
      <c r="AF87" s="573"/>
      <c r="AG87" s="368"/>
      <c r="AI87" s="672"/>
      <c r="AJ87" s="672"/>
      <c r="AK87" s="672"/>
    </row>
    <row r="88" spans="1:39" x14ac:dyDescent="0.25">
      <c r="L88" s="293"/>
      <c r="O88" s="293"/>
      <c r="AF88" s="571"/>
      <c r="AI88" s="672"/>
      <c r="AJ88" s="672"/>
      <c r="AK88" s="672"/>
    </row>
    <row r="89" spans="1:39" x14ac:dyDescent="0.25">
      <c r="AE89" s="697"/>
      <c r="AF89" s="573"/>
      <c r="AG89" s="754"/>
      <c r="AI89" s="672"/>
      <c r="AJ89" s="672"/>
      <c r="AK89" s="672"/>
    </row>
    <row r="91" spans="1:39" x14ac:dyDescent="0.25">
      <c r="AG91" s="754"/>
      <c r="AI91" s="755"/>
    </row>
  </sheetData>
  <autoFilter ref="A7:AR85" xr:uid="{F270E47E-944F-4767-B7BF-1BF9B0E6485B}"/>
  <mergeCells count="4">
    <mergeCell ref="N6:P6"/>
    <mergeCell ref="Q6:V6"/>
    <mergeCell ref="W6:AC6"/>
    <mergeCell ref="AD6:AJ6"/>
  </mergeCells>
  <conditionalFormatting sqref="T64">
    <cfRule type="cellIs" dxfId="216" priority="106" operator="lessThan">
      <formula>#REF!</formula>
    </cfRule>
  </conditionalFormatting>
  <conditionalFormatting sqref="O13 R17 R20:R21 R23:R24 R26 R28 R30:R33 R41 R45 R47 R49:R50 R76:R77 R79 Q13:R13">
    <cfRule type="cellIs" dxfId="215" priority="134" operator="lessThan">
      <formula>#REF!</formula>
    </cfRule>
    <cfRule type="cellIs" dxfId="214" priority="173" operator="lessThan">
      <formula>#REF!</formula>
    </cfRule>
    <cfRule type="cellIs" dxfId="213" priority="174" operator="lessThan">
      <formula>#REF!</formula>
    </cfRule>
  </conditionalFormatting>
  <conditionalFormatting sqref="O24">
    <cfRule type="cellIs" dxfId="212" priority="172" operator="lessThan">
      <formula>#REF!</formula>
    </cfRule>
  </conditionalFormatting>
  <conditionalFormatting sqref="O26">
    <cfRule type="cellIs" dxfId="211" priority="133" operator="lessThan">
      <formula>#REF!</formula>
    </cfRule>
    <cfRule type="cellIs" dxfId="210" priority="171" operator="lessThan">
      <formula>#REF!</formula>
    </cfRule>
  </conditionalFormatting>
  <conditionalFormatting sqref="O31">
    <cfRule type="cellIs" dxfId="209" priority="170" operator="lessThan">
      <formula>#REF!</formula>
    </cfRule>
  </conditionalFormatting>
  <conditionalFormatting sqref="O33">
    <cfRule type="cellIs" dxfId="208" priority="169" operator="lessThan">
      <formula>#REF!</formula>
    </cfRule>
  </conditionalFormatting>
  <conditionalFormatting sqref="O46">
    <cfRule type="cellIs" dxfId="207" priority="163" operator="lessThan">
      <formula>#REF!</formula>
    </cfRule>
  </conditionalFormatting>
  <conditionalFormatting sqref="O35">
    <cfRule type="cellIs" dxfId="206" priority="168" operator="lessThan">
      <formula>#REF!</formula>
    </cfRule>
  </conditionalFormatting>
  <conditionalFormatting sqref="O51">
    <cfRule type="cellIs" dxfId="205" priority="159" operator="lessThan">
      <formula>#REF!</formula>
    </cfRule>
  </conditionalFormatting>
  <conditionalFormatting sqref="O52">
    <cfRule type="cellIs" dxfId="204" priority="158" operator="lessThan">
      <formula>#REF!</formula>
    </cfRule>
  </conditionalFormatting>
  <conditionalFormatting sqref="O39">
    <cfRule type="cellIs" dxfId="203" priority="167" operator="lessThan">
      <formula>#REF!</formula>
    </cfRule>
  </conditionalFormatting>
  <conditionalFormatting sqref="O40">
    <cfRule type="cellIs" dxfId="202" priority="166" operator="lessThan">
      <formula>#REF!</formula>
    </cfRule>
  </conditionalFormatting>
  <conditionalFormatting sqref="O41">
    <cfRule type="cellIs" dxfId="201" priority="165" operator="lessThan">
      <formula>#REF!</formula>
    </cfRule>
  </conditionalFormatting>
  <conditionalFormatting sqref="O56">
    <cfRule type="cellIs" dxfId="200" priority="156" operator="lessThan">
      <formula>#REF!</formula>
    </cfRule>
  </conditionalFormatting>
  <conditionalFormatting sqref="O57">
    <cfRule type="cellIs" dxfId="199" priority="155" operator="lessThan">
      <formula>#REF!</formula>
    </cfRule>
  </conditionalFormatting>
  <conditionalFormatting sqref="O58">
    <cfRule type="cellIs" dxfId="198" priority="154" operator="lessThan">
      <formula>#REF!</formula>
    </cfRule>
  </conditionalFormatting>
  <conditionalFormatting sqref="O45">
    <cfRule type="cellIs" dxfId="197" priority="164" operator="lessThan">
      <formula>#REF!</formula>
    </cfRule>
  </conditionalFormatting>
  <conditionalFormatting sqref="O47">
    <cfRule type="cellIs" dxfId="196" priority="162" operator="lessThan">
      <formula>#REF!</formula>
    </cfRule>
  </conditionalFormatting>
  <conditionalFormatting sqref="O62">
    <cfRule type="cellIs" dxfId="195" priority="150" operator="lessThan">
      <formula>#REF!</formula>
    </cfRule>
  </conditionalFormatting>
  <conditionalFormatting sqref="O49">
    <cfRule type="cellIs" dxfId="194" priority="161" operator="lessThan">
      <formula>#REF!</formula>
    </cfRule>
  </conditionalFormatting>
  <conditionalFormatting sqref="O53">
    <cfRule type="cellIs" dxfId="193" priority="157" operator="lessThan">
      <formula>#REF!</formula>
    </cfRule>
  </conditionalFormatting>
  <conditionalFormatting sqref="O60">
    <cfRule type="cellIs" dxfId="192" priority="152" operator="lessThan">
      <formula>#REF!</formula>
    </cfRule>
  </conditionalFormatting>
  <conditionalFormatting sqref="O59">
    <cfRule type="cellIs" dxfId="191" priority="132" operator="lessThan">
      <formula>#REF!</formula>
    </cfRule>
    <cfRule type="cellIs" dxfId="190" priority="153" operator="lessThan">
      <formula>#REF!</formula>
    </cfRule>
  </conditionalFormatting>
  <conditionalFormatting sqref="O61">
    <cfRule type="cellIs" dxfId="189" priority="151" operator="lessThan">
      <formula>#REF!</formula>
    </cfRule>
  </conditionalFormatting>
  <conditionalFormatting sqref="O63">
    <cfRule type="cellIs" dxfId="188" priority="149" operator="lessThan">
      <formula>#REF!</formula>
    </cfRule>
  </conditionalFormatting>
  <conditionalFormatting sqref="O64">
    <cfRule type="cellIs" dxfId="187" priority="148" operator="lessThan">
      <formula>#REF!</formula>
    </cfRule>
  </conditionalFormatting>
  <conditionalFormatting sqref="O65">
    <cfRule type="cellIs" dxfId="186" priority="147" operator="lessThan">
      <formula>#REF!</formula>
    </cfRule>
  </conditionalFormatting>
  <conditionalFormatting sqref="O66">
    <cfRule type="cellIs" dxfId="185" priority="146" operator="lessThan">
      <formula>#REF!</formula>
    </cfRule>
  </conditionalFormatting>
  <conditionalFormatting sqref="O67">
    <cfRule type="cellIs" dxfId="184" priority="145" operator="lessThan">
      <formula>#REF!</formula>
    </cfRule>
  </conditionalFormatting>
  <conditionalFormatting sqref="O68">
    <cfRule type="cellIs" dxfId="183" priority="144" operator="lessThan">
      <formula>#REF!</formula>
    </cfRule>
  </conditionalFormatting>
  <conditionalFormatting sqref="O69">
    <cfRule type="cellIs" dxfId="182" priority="143" operator="lessThan">
      <formula>#REF!</formula>
    </cfRule>
  </conditionalFormatting>
  <conditionalFormatting sqref="O70">
    <cfRule type="cellIs" dxfId="181" priority="142" operator="lessThan">
      <formula>#REF!</formula>
    </cfRule>
  </conditionalFormatting>
  <conditionalFormatting sqref="O71">
    <cfRule type="cellIs" dxfId="180" priority="141" operator="lessThan">
      <formula>#REF!</formula>
    </cfRule>
  </conditionalFormatting>
  <conditionalFormatting sqref="O72">
    <cfRule type="cellIs" dxfId="179" priority="140" operator="lessThan">
      <formula>#REF!</formula>
    </cfRule>
  </conditionalFormatting>
  <conditionalFormatting sqref="O76">
    <cfRule type="cellIs" dxfId="178" priority="139" operator="lessThan">
      <formula>#REF!</formula>
    </cfRule>
  </conditionalFormatting>
  <conditionalFormatting sqref="O83">
    <cfRule type="cellIs" dxfId="177" priority="137" operator="lessThan">
      <formula>#REF!</formula>
    </cfRule>
    <cfRule type="cellIs" dxfId="176" priority="138" operator="lessThan">
      <formula>#REF!</formula>
    </cfRule>
  </conditionalFormatting>
  <conditionalFormatting sqref="O84">
    <cfRule type="cellIs" dxfId="175" priority="136" operator="lessThan">
      <formula>#REF!</formula>
    </cfRule>
  </conditionalFormatting>
  <conditionalFormatting sqref="O80">
    <cfRule type="cellIs" dxfId="174" priority="135" operator="lessThan">
      <formula>#REF!</formula>
    </cfRule>
  </conditionalFormatting>
  <conditionalFormatting sqref="T59">
    <cfRule type="cellIs" dxfId="173" priority="131" operator="greaterThan">
      <formula>"S58"</formula>
    </cfRule>
  </conditionalFormatting>
  <conditionalFormatting sqref="T62">
    <cfRule type="cellIs" dxfId="172" priority="130" operator="lessThan">
      <formula>#REF!</formula>
    </cfRule>
  </conditionalFormatting>
  <conditionalFormatting sqref="T66">
    <cfRule type="cellIs" dxfId="171" priority="129" operator="lessThan">
      <formula>#REF!</formula>
    </cfRule>
  </conditionalFormatting>
  <conditionalFormatting sqref="T65">
    <cfRule type="cellIs" dxfId="170" priority="128" operator="lessThan">
      <formula>#REF!</formula>
    </cfRule>
  </conditionalFormatting>
  <conditionalFormatting sqref="T67">
    <cfRule type="cellIs" dxfId="169" priority="127" operator="greaterThan">
      <formula>#REF!</formula>
    </cfRule>
  </conditionalFormatting>
  <conditionalFormatting sqref="T68">
    <cfRule type="cellIs" dxfId="168" priority="126" operator="lessThan">
      <formula>#REF!</formula>
    </cfRule>
  </conditionalFormatting>
  <conditionalFormatting sqref="T69">
    <cfRule type="cellIs" dxfId="167" priority="125" operator="lessThan">
      <formula>#REF!</formula>
    </cfRule>
  </conditionalFormatting>
  <conditionalFormatting sqref="T70">
    <cfRule type="cellIs" dxfId="166" priority="124" operator="lessThan">
      <formula>#REF!</formula>
    </cfRule>
  </conditionalFormatting>
  <conditionalFormatting sqref="T72">
    <cfRule type="cellIs" dxfId="165" priority="122" operator="greaterThan">
      <formula>#REF!</formula>
    </cfRule>
  </conditionalFormatting>
  <conditionalFormatting sqref="T73">
    <cfRule type="cellIs" dxfId="164" priority="121" operator="lessThan">
      <formula>#REF!</formula>
    </cfRule>
  </conditionalFormatting>
  <conditionalFormatting sqref="S82">
    <cfRule type="cellIs" dxfId="163" priority="120" operator="lessThan">
      <formula>#REF!</formula>
    </cfRule>
  </conditionalFormatting>
  <conditionalFormatting sqref="O10 R10">
    <cfRule type="cellIs" dxfId="162" priority="118" operator="lessThan">
      <formula>#REF!</formula>
    </cfRule>
    <cfRule type="cellIs" dxfId="161" priority="119" operator="lessThan">
      <formula>#REF!</formula>
    </cfRule>
  </conditionalFormatting>
  <conditionalFormatting sqref="T76">
    <cfRule type="cellIs" dxfId="160" priority="117" operator="lessThan">
      <formula>#REF!</formula>
    </cfRule>
  </conditionalFormatting>
  <conditionalFormatting sqref="S51:T51 S52:S73">
    <cfRule type="cellIs" dxfId="159" priority="116" operator="lessThan">
      <formula>#REF!</formula>
    </cfRule>
  </conditionalFormatting>
  <conditionalFormatting sqref="T52">
    <cfRule type="cellIs" dxfId="158" priority="115" operator="lessThan">
      <formula>#REF!</formula>
    </cfRule>
  </conditionalFormatting>
  <conditionalFormatting sqref="Y52">
    <cfRule type="cellIs" dxfId="157" priority="114" operator="lessThan">
      <formula>#REF!</formula>
    </cfRule>
  </conditionalFormatting>
  <conditionalFormatting sqref="T53">
    <cfRule type="cellIs" dxfId="156" priority="113" operator="lessThan">
      <formula>#REF!</formula>
    </cfRule>
  </conditionalFormatting>
  <conditionalFormatting sqref="L55">
    <cfRule type="cellIs" dxfId="155" priority="112" operator="lessThan">
      <formula>#REF!</formula>
    </cfRule>
  </conditionalFormatting>
  <conditionalFormatting sqref="O55">
    <cfRule type="cellIs" dxfId="154" priority="111" operator="lessThan">
      <formula>#REF!</formula>
    </cfRule>
  </conditionalFormatting>
  <conditionalFormatting sqref="T57">
    <cfRule type="cellIs" dxfId="153" priority="110" operator="lessThan">
      <formula>#REF!</formula>
    </cfRule>
  </conditionalFormatting>
  <conditionalFormatting sqref="T60">
    <cfRule type="cellIs" dxfId="152" priority="109" operator="lessThan">
      <formula>#REF!</formula>
    </cfRule>
  </conditionalFormatting>
  <conditionalFormatting sqref="T61">
    <cfRule type="cellIs" dxfId="151" priority="108" operator="lessThan">
      <formula>#REF!</formula>
    </cfRule>
  </conditionalFormatting>
  <conditionalFormatting sqref="T63">
    <cfRule type="cellIs" dxfId="150" priority="107" operator="lessThan">
      <formula>#REF!</formula>
    </cfRule>
  </conditionalFormatting>
  <conditionalFormatting sqref="Y76">
    <cfRule type="cellIs" dxfId="149" priority="105" operator="lessThan">
      <formula>#REF!</formula>
    </cfRule>
  </conditionalFormatting>
  <conditionalFormatting sqref="U8:V85">
    <cfRule type="iconSet" priority="104">
      <iconSet iconSet="3TrafficLights2">
        <cfvo type="percent" val="0"/>
        <cfvo type="num" val="0.98"/>
        <cfvo type="num" val="1"/>
      </iconSet>
    </cfRule>
  </conditionalFormatting>
  <conditionalFormatting sqref="AB11:AC11 AB16:AC16 AB32:AC32 AB41:AC41 AA60:AC62 AB59:AC59 AB63:AC63 AA8:AC10 AA42:AC58 AA64:AC85 AA12:AC15 AA33:AC40 AA17:AC31">
    <cfRule type="iconSet" priority="103">
      <iconSet iconSet="3TrafficLights2">
        <cfvo type="percent" val="0"/>
        <cfvo type="num" val="0.98"/>
        <cfvo type="num" val="1"/>
      </iconSet>
    </cfRule>
  </conditionalFormatting>
  <conditionalFormatting sqref="Z52">
    <cfRule type="cellIs" dxfId="148" priority="102" operator="lessThan">
      <formula>#REF!</formula>
    </cfRule>
  </conditionalFormatting>
  <conditionalFormatting sqref="P8:P85">
    <cfRule type="iconSet" priority="175">
      <iconSet iconSet="3TrafficLights2">
        <cfvo type="percent" val="0"/>
        <cfvo type="num" val="0.98"/>
        <cfvo type="num" val="1"/>
      </iconSet>
    </cfRule>
  </conditionalFormatting>
  <conditionalFormatting sqref="AE55:AG55">
    <cfRule type="cellIs" dxfId="147" priority="101" operator="lessThan">
      <formula>#REF!</formula>
    </cfRule>
  </conditionalFormatting>
  <conditionalFormatting sqref="AK55:AM55">
    <cfRule type="cellIs" dxfId="146" priority="100" operator="lessThan">
      <formula>#REF!</formula>
    </cfRule>
  </conditionalFormatting>
  <conditionalFormatting sqref="AH33:AI33">
    <cfRule type="iconSet" priority="98">
      <iconSet iconSet="3TrafficLights2">
        <cfvo type="percent" val="0"/>
        <cfvo type="num" val="0.98"/>
        <cfvo type="num" val="1"/>
      </iconSet>
    </cfRule>
  </conditionalFormatting>
  <conditionalFormatting sqref="AH64:AI64">
    <cfRule type="iconSet" priority="97">
      <iconSet iconSet="3TrafficLights2">
        <cfvo type="percent" val="0"/>
        <cfvo type="num" val="0.98"/>
        <cfvo type="num" val="1"/>
      </iconSet>
    </cfRule>
  </conditionalFormatting>
  <conditionalFormatting sqref="AH82:AI82 AH71:AI71 AH13:AI13 AH80:AI80">
    <cfRule type="iconSet" priority="96">
      <iconSet iconSet="3TrafficLights2">
        <cfvo type="percent" val="0"/>
        <cfvo type="num" val="0.98"/>
        <cfvo type="num" val="1"/>
      </iconSet>
    </cfRule>
  </conditionalFormatting>
  <conditionalFormatting sqref="AA11 AA16 AA32 AA41 AA59 AA63">
    <cfRule type="iconSet" priority="95">
      <iconSet iconSet="3TrafficLights2">
        <cfvo type="percent" val="0"/>
        <cfvo type="num" val="0.98"/>
        <cfvo type="num" val="1"/>
      </iconSet>
    </cfRule>
  </conditionalFormatting>
  <conditionalFormatting sqref="AH11 AH16 AH32 AH41 AH59 AH63">
    <cfRule type="iconSet" priority="94">
      <iconSet iconSet="3TrafficLights2">
        <cfvo type="percent" val="0"/>
        <cfvo type="num" val="0.98"/>
        <cfvo type="num" val="1"/>
      </iconSet>
    </cfRule>
  </conditionalFormatting>
  <conditionalFormatting sqref="AI11 AI16 AI32 AI41 AI59 AI63">
    <cfRule type="iconSet" priority="93">
      <iconSet iconSet="3TrafficLights2">
        <cfvo type="percent" val="0"/>
        <cfvo type="num" val="0.98"/>
        <cfvo type="num" val="1"/>
      </iconSet>
    </cfRule>
  </conditionalFormatting>
  <conditionalFormatting sqref="O50">
    <cfRule type="cellIs" dxfId="145" priority="92" operator="lessThan">
      <formula>#REF!</formula>
    </cfRule>
  </conditionalFormatting>
  <conditionalFormatting sqref="AH37">
    <cfRule type="iconSet" priority="90">
      <iconSet iconSet="3TrafficLights2">
        <cfvo type="percent" val="0"/>
        <cfvo type="num" val="0.98"/>
        <cfvo type="num" val="1"/>
      </iconSet>
    </cfRule>
  </conditionalFormatting>
  <conditionalFormatting sqref="AI37">
    <cfRule type="iconSet" priority="89">
      <iconSet iconSet="3TrafficLights2">
        <cfvo type="percent" val="0"/>
        <cfvo type="num" val="0.98"/>
        <cfvo type="num" val="1"/>
      </iconSet>
    </cfRule>
  </conditionalFormatting>
  <conditionalFormatting sqref="AH39:AI39">
    <cfRule type="iconSet" priority="88">
      <iconSet iconSet="3TrafficLights2">
        <cfvo type="percent" val="0"/>
        <cfvo type="num" val="0.98"/>
        <cfvo type="num" val="1"/>
      </iconSet>
    </cfRule>
  </conditionalFormatting>
  <conditionalFormatting sqref="AH40:AI40">
    <cfRule type="iconSet" priority="87">
      <iconSet iconSet="3TrafficLights2">
        <cfvo type="percent" val="0"/>
        <cfvo type="num" val="0.98"/>
        <cfvo type="num" val="1"/>
      </iconSet>
    </cfRule>
  </conditionalFormatting>
  <conditionalFormatting sqref="AH8">
    <cfRule type="iconSet" priority="86">
      <iconSet iconSet="3TrafficLights2">
        <cfvo type="percent" val="0"/>
        <cfvo type="num" val="0.98"/>
        <cfvo type="num" val="1"/>
      </iconSet>
    </cfRule>
  </conditionalFormatting>
  <conditionalFormatting sqref="AI8">
    <cfRule type="iconSet" priority="85">
      <iconSet iconSet="3TrafficLights2">
        <cfvo type="percent" val="0"/>
        <cfvo type="num" val="0.98"/>
        <cfvo type="num" val="1"/>
      </iconSet>
    </cfRule>
  </conditionalFormatting>
  <conditionalFormatting sqref="AH18:AH19 AH54">
    <cfRule type="iconSet" priority="84">
      <iconSet iconSet="3TrafficLights2">
        <cfvo type="percent" val="0"/>
        <cfvo type="num" val="0.98"/>
        <cfvo type="num" val="1"/>
      </iconSet>
    </cfRule>
  </conditionalFormatting>
  <conditionalFormatting sqref="AI18:AI19 AI54">
    <cfRule type="iconSet" priority="83">
      <iconSet iconSet="3TrafficLights2">
        <cfvo type="percent" val="0"/>
        <cfvo type="num" val="0.98"/>
        <cfvo type="num" val="1"/>
      </iconSet>
    </cfRule>
  </conditionalFormatting>
  <conditionalFormatting sqref="AH76">
    <cfRule type="iconSet" priority="82">
      <iconSet iconSet="3TrafficLights2">
        <cfvo type="percent" val="0"/>
        <cfvo type="num" val="0.98"/>
        <cfvo type="num" val="1"/>
      </iconSet>
    </cfRule>
  </conditionalFormatting>
  <conditionalFormatting sqref="AI76">
    <cfRule type="iconSet" priority="81">
      <iconSet iconSet="3TrafficLights2">
        <cfvo type="percent" val="0"/>
        <cfvo type="num" val="0.98"/>
        <cfvo type="num" val="1"/>
      </iconSet>
    </cfRule>
  </conditionalFormatting>
  <conditionalFormatting sqref="AH17:AI17 AH55:AI57 AH62:AI62">
    <cfRule type="iconSet" priority="80">
      <iconSet iconSet="3TrafficLights2">
        <cfvo type="percent" val="0"/>
        <cfvo type="num" val="0.98"/>
        <cfvo type="num" val="1"/>
      </iconSet>
    </cfRule>
  </conditionalFormatting>
  <conditionalFormatting sqref="AH66:AI66">
    <cfRule type="iconSet" priority="79">
      <iconSet iconSet="3TrafficLights2">
        <cfvo type="percent" val="0"/>
        <cfvo type="num" val="0.98"/>
        <cfvo type="num" val="1"/>
      </iconSet>
    </cfRule>
  </conditionalFormatting>
  <conditionalFormatting sqref="AH52:AI52">
    <cfRule type="iconSet" priority="78">
      <iconSet iconSet="3TrafficLights2">
        <cfvo type="percent" val="0"/>
        <cfvo type="num" val="0.98"/>
        <cfvo type="num" val="1"/>
      </iconSet>
    </cfRule>
  </conditionalFormatting>
  <conditionalFormatting sqref="AH47">
    <cfRule type="iconSet" priority="77">
      <iconSet iconSet="3TrafficLights2">
        <cfvo type="percent" val="0"/>
        <cfvo type="num" val="0.98"/>
        <cfvo type="num" val="1"/>
      </iconSet>
    </cfRule>
  </conditionalFormatting>
  <conditionalFormatting sqref="AI47">
    <cfRule type="iconSet" priority="76">
      <iconSet iconSet="3TrafficLights2">
        <cfvo type="percent" val="0"/>
        <cfvo type="num" val="0.98"/>
        <cfvo type="num" val="1"/>
      </iconSet>
    </cfRule>
  </conditionalFormatting>
  <conditionalFormatting sqref="AH77:AI77">
    <cfRule type="iconSet" priority="75">
      <iconSet iconSet="3TrafficLights2">
        <cfvo type="percent" val="0"/>
        <cfvo type="num" val="0.98"/>
        <cfvo type="num" val="1"/>
      </iconSet>
    </cfRule>
  </conditionalFormatting>
  <conditionalFormatting sqref="AH72">
    <cfRule type="iconSet" priority="74">
      <iconSet iconSet="3TrafficLights2">
        <cfvo type="percent" val="0"/>
        <cfvo type="num" val="0.98"/>
        <cfvo type="num" val="1"/>
      </iconSet>
    </cfRule>
  </conditionalFormatting>
  <conditionalFormatting sqref="AI72">
    <cfRule type="iconSet" priority="73">
      <iconSet iconSet="3TrafficLights2">
        <cfvo type="percent" val="0"/>
        <cfvo type="num" val="0.98"/>
        <cfvo type="num" val="1"/>
      </iconSet>
    </cfRule>
  </conditionalFormatting>
  <conditionalFormatting sqref="AH24:AI24 AH28:AI28 AH31:AI31 AH21:AI22 AH34:AI34 AH46:AI46 AH58:AI58 AH61:AI61 AH65:AI65 AH68:AI69">
    <cfRule type="iconSet" priority="72">
      <iconSet iconSet="3TrafficLights2">
        <cfvo type="percent" val="0"/>
        <cfvo type="num" val="0.98"/>
        <cfvo type="num" val="1"/>
      </iconSet>
    </cfRule>
  </conditionalFormatting>
  <conditionalFormatting sqref="AH73:AI73">
    <cfRule type="iconSet" priority="71">
      <iconSet iconSet="3TrafficLights2">
        <cfvo type="percent" val="0"/>
        <cfvo type="num" val="0.98"/>
        <cfvo type="num" val="1"/>
      </iconSet>
    </cfRule>
  </conditionalFormatting>
  <conditionalFormatting sqref="AH44:AI44">
    <cfRule type="iconSet" priority="70">
      <iconSet iconSet="3TrafficLights2">
        <cfvo type="percent" val="0"/>
        <cfvo type="num" val="0.98"/>
        <cfvo type="num" val="1"/>
      </iconSet>
    </cfRule>
  </conditionalFormatting>
  <conditionalFormatting sqref="AH45:AI45">
    <cfRule type="iconSet" priority="69">
      <iconSet iconSet="3TrafficLights2">
        <cfvo type="percent" val="0"/>
        <cfvo type="num" val="0.98"/>
        <cfvo type="num" val="1"/>
      </iconSet>
    </cfRule>
  </conditionalFormatting>
  <conditionalFormatting sqref="AH30:AI30">
    <cfRule type="iconSet" priority="67">
      <iconSet iconSet="3TrafficLights2">
        <cfvo type="percent" val="0"/>
        <cfvo type="num" val="0.98"/>
        <cfvo type="num" val="1"/>
      </iconSet>
    </cfRule>
  </conditionalFormatting>
  <conditionalFormatting sqref="AH20:AI20">
    <cfRule type="iconSet" priority="66">
      <iconSet iconSet="3TrafficLights2">
        <cfvo type="percent" val="0"/>
        <cfvo type="num" val="0.98"/>
        <cfvo type="num" val="1"/>
      </iconSet>
    </cfRule>
  </conditionalFormatting>
  <conditionalFormatting sqref="AH10:AI10">
    <cfRule type="iconSet" priority="65">
      <iconSet iconSet="3TrafficLights2">
        <cfvo type="percent" val="0"/>
        <cfvo type="num" val="0.98"/>
        <cfvo type="num" val="1"/>
      </iconSet>
    </cfRule>
  </conditionalFormatting>
  <conditionalFormatting sqref="AH12">
    <cfRule type="iconSet" priority="64">
      <iconSet iconSet="3TrafficLights2">
        <cfvo type="percent" val="0"/>
        <cfvo type="num" val="0.98"/>
        <cfvo type="num" val="1"/>
      </iconSet>
    </cfRule>
  </conditionalFormatting>
  <conditionalFormatting sqref="AI12">
    <cfRule type="iconSet" priority="63">
      <iconSet iconSet="3TrafficLights2">
        <cfvo type="percent" val="0"/>
        <cfvo type="num" val="0.98"/>
        <cfvo type="num" val="1"/>
      </iconSet>
    </cfRule>
  </conditionalFormatting>
  <conditionalFormatting sqref="AH14:AI15">
    <cfRule type="iconSet" priority="62">
      <iconSet iconSet="3TrafficLights2">
        <cfvo type="percent" val="0"/>
        <cfvo type="num" val="0.98"/>
        <cfvo type="num" val="1"/>
      </iconSet>
    </cfRule>
  </conditionalFormatting>
  <conditionalFormatting sqref="AH9">
    <cfRule type="iconSet" priority="59">
      <iconSet iconSet="3TrafficLights2">
        <cfvo type="percent" val="0"/>
        <cfvo type="num" val="0.98"/>
        <cfvo type="num" val="1"/>
      </iconSet>
    </cfRule>
  </conditionalFormatting>
  <conditionalFormatting sqref="AI9">
    <cfRule type="iconSet" priority="58">
      <iconSet iconSet="3TrafficLights2">
        <cfvo type="percent" val="0"/>
        <cfvo type="num" val="0.98"/>
        <cfvo type="num" val="1"/>
      </iconSet>
    </cfRule>
  </conditionalFormatting>
  <conditionalFormatting sqref="AH23:AI23">
    <cfRule type="iconSet" priority="57">
      <iconSet iconSet="3TrafficLights2">
        <cfvo type="percent" val="0"/>
        <cfvo type="num" val="0.98"/>
        <cfvo type="num" val="1"/>
      </iconSet>
    </cfRule>
  </conditionalFormatting>
  <conditionalFormatting sqref="AH25">
    <cfRule type="iconSet" priority="56">
      <iconSet iconSet="3TrafficLights2">
        <cfvo type="percent" val="0"/>
        <cfvo type="num" val="0.98"/>
        <cfvo type="num" val="1"/>
      </iconSet>
    </cfRule>
  </conditionalFormatting>
  <conditionalFormatting sqref="AI25">
    <cfRule type="iconSet" priority="55">
      <iconSet iconSet="3TrafficLights2">
        <cfvo type="percent" val="0"/>
        <cfvo type="num" val="0.98"/>
        <cfvo type="num" val="1"/>
      </iconSet>
    </cfRule>
  </conditionalFormatting>
  <conditionalFormatting sqref="AH26">
    <cfRule type="iconSet" priority="54">
      <iconSet iconSet="3TrafficLights2">
        <cfvo type="percent" val="0"/>
        <cfvo type="num" val="0.98"/>
        <cfvo type="num" val="1"/>
      </iconSet>
    </cfRule>
  </conditionalFormatting>
  <conditionalFormatting sqref="AI26">
    <cfRule type="iconSet" priority="53">
      <iconSet iconSet="3TrafficLights2">
        <cfvo type="percent" val="0"/>
        <cfvo type="num" val="0.98"/>
        <cfvo type="num" val="1"/>
      </iconSet>
    </cfRule>
  </conditionalFormatting>
  <conditionalFormatting sqref="AH27">
    <cfRule type="iconSet" priority="52">
      <iconSet iconSet="3TrafficLights2">
        <cfvo type="percent" val="0"/>
        <cfvo type="num" val="0.98"/>
        <cfvo type="num" val="1"/>
      </iconSet>
    </cfRule>
  </conditionalFormatting>
  <conditionalFormatting sqref="AI27">
    <cfRule type="iconSet" priority="51">
      <iconSet iconSet="3TrafficLights2">
        <cfvo type="percent" val="0"/>
        <cfvo type="num" val="0.98"/>
        <cfvo type="num" val="1"/>
      </iconSet>
    </cfRule>
  </conditionalFormatting>
  <conditionalFormatting sqref="AH29">
    <cfRule type="iconSet" priority="50">
      <iconSet iconSet="3TrafficLights2">
        <cfvo type="percent" val="0"/>
        <cfvo type="num" val="0.98"/>
        <cfvo type="num" val="1"/>
      </iconSet>
    </cfRule>
  </conditionalFormatting>
  <conditionalFormatting sqref="AI29">
    <cfRule type="iconSet" priority="49">
      <iconSet iconSet="3TrafficLights2">
        <cfvo type="percent" val="0"/>
        <cfvo type="num" val="0.98"/>
        <cfvo type="num" val="1"/>
      </iconSet>
    </cfRule>
  </conditionalFormatting>
  <conditionalFormatting sqref="AH36">
    <cfRule type="iconSet" priority="48">
      <iconSet iconSet="3TrafficLights2">
        <cfvo type="percent" val="0"/>
        <cfvo type="num" val="0.98"/>
        <cfvo type="num" val="1"/>
      </iconSet>
    </cfRule>
  </conditionalFormatting>
  <conditionalFormatting sqref="AI36">
    <cfRule type="iconSet" priority="47">
      <iconSet iconSet="3TrafficLights2">
        <cfvo type="percent" val="0"/>
        <cfvo type="num" val="0.98"/>
        <cfvo type="num" val="1"/>
      </iconSet>
    </cfRule>
  </conditionalFormatting>
  <conditionalFormatting sqref="AH38">
    <cfRule type="iconSet" priority="46">
      <iconSet iconSet="3TrafficLights2">
        <cfvo type="percent" val="0"/>
        <cfvo type="num" val="0.98"/>
        <cfvo type="num" val="1"/>
      </iconSet>
    </cfRule>
  </conditionalFormatting>
  <conditionalFormatting sqref="AI38">
    <cfRule type="iconSet" priority="45">
      <iconSet iconSet="3TrafficLights2">
        <cfvo type="percent" val="0"/>
        <cfvo type="num" val="0.98"/>
        <cfvo type="num" val="1"/>
      </iconSet>
    </cfRule>
  </conditionalFormatting>
  <conditionalFormatting sqref="AH42">
    <cfRule type="iconSet" priority="44">
      <iconSet iconSet="3TrafficLights2">
        <cfvo type="percent" val="0"/>
        <cfvo type="num" val="0.98"/>
        <cfvo type="num" val="1"/>
      </iconSet>
    </cfRule>
  </conditionalFormatting>
  <conditionalFormatting sqref="AI42">
    <cfRule type="iconSet" priority="43">
      <iconSet iconSet="3TrafficLights2">
        <cfvo type="percent" val="0"/>
        <cfvo type="num" val="0.98"/>
        <cfvo type="num" val="1"/>
      </iconSet>
    </cfRule>
  </conditionalFormatting>
  <conditionalFormatting sqref="AH43">
    <cfRule type="iconSet" priority="42">
      <iconSet iconSet="3TrafficLights2">
        <cfvo type="percent" val="0"/>
        <cfvo type="num" val="0.98"/>
        <cfvo type="num" val="1"/>
      </iconSet>
    </cfRule>
  </conditionalFormatting>
  <conditionalFormatting sqref="AI43">
    <cfRule type="iconSet" priority="41">
      <iconSet iconSet="3TrafficLights2">
        <cfvo type="percent" val="0"/>
        <cfvo type="num" val="0.98"/>
        <cfvo type="num" val="1"/>
      </iconSet>
    </cfRule>
  </conditionalFormatting>
  <conditionalFormatting sqref="AH48">
    <cfRule type="iconSet" priority="40">
      <iconSet iconSet="3TrafficLights2">
        <cfvo type="percent" val="0"/>
        <cfvo type="num" val="0.98"/>
        <cfvo type="num" val="1"/>
      </iconSet>
    </cfRule>
  </conditionalFormatting>
  <conditionalFormatting sqref="AI48">
    <cfRule type="iconSet" priority="39">
      <iconSet iconSet="3TrafficLights2">
        <cfvo type="percent" val="0"/>
        <cfvo type="num" val="0.98"/>
        <cfvo type="num" val="1"/>
      </iconSet>
    </cfRule>
  </conditionalFormatting>
  <conditionalFormatting sqref="AH49">
    <cfRule type="iconSet" priority="36">
      <iconSet iconSet="3TrafficLights2">
        <cfvo type="percent" val="0"/>
        <cfvo type="num" val="0.98"/>
        <cfvo type="num" val="1"/>
      </iconSet>
    </cfRule>
  </conditionalFormatting>
  <conditionalFormatting sqref="AI49">
    <cfRule type="iconSet" priority="35">
      <iconSet iconSet="3TrafficLights2">
        <cfvo type="percent" val="0"/>
        <cfvo type="num" val="0.98"/>
        <cfvo type="num" val="1"/>
      </iconSet>
    </cfRule>
  </conditionalFormatting>
  <conditionalFormatting sqref="AH50">
    <cfRule type="iconSet" priority="34">
      <iconSet iconSet="3TrafficLights2">
        <cfvo type="percent" val="0"/>
        <cfvo type="num" val="0.98"/>
        <cfvo type="num" val="1"/>
      </iconSet>
    </cfRule>
  </conditionalFormatting>
  <conditionalFormatting sqref="AI50">
    <cfRule type="iconSet" priority="33">
      <iconSet iconSet="3TrafficLights2">
        <cfvo type="percent" val="0"/>
        <cfvo type="num" val="0.98"/>
        <cfvo type="num" val="1"/>
      </iconSet>
    </cfRule>
  </conditionalFormatting>
  <conditionalFormatting sqref="AH51">
    <cfRule type="iconSet" priority="32">
      <iconSet iconSet="3TrafficLights2">
        <cfvo type="percent" val="0"/>
        <cfvo type="num" val="0.98"/>
        <cfvo type="num" val="1"/>
      </iconSet>
    </cfRule>
  </conditionalFormatting>
  <conditionalFormatting sqref="AI51">
    <cfRule type="iconSet" priority="31">
      <iconSet iconSet="3TrafficLights2">
        <cfvo type="percent" val="0"/>
        <cfvo type="num" val="0.98"/>
        <cfvo type="num" val="1"/>
      </iconSet>
    </cfRule>
  </conditionalFormatting>
  <conditionalFormatting sqref="AH53">
    <cfRule type="iconSet" priority="30">
      <iconSet iconSet="3TrafficLights2">
        <cfvo type="percent" val="0"/>
        <cfvo type="num" val="0.98"/>
        <cfvo type="num" val="1"/>
      </iconSet>
    </cfRule>
  </conditionalFormatting>
  <conditionalFormatting sqref="AI53">
    <cfRule type="iconSet" priority="29">
      <iconSet iconSet="3TrafficLights2">
        <cfvo type="percent" val="0"/>
        <cfvo type="num" val="0.98"/>
        <cfvo type="num" val="1"/>
      </iconSet>
    </cfRule>
  </conditionalFormatting>
  <conditionalFormatting sqref="AH60">
    <cfRule type="iconSet" priority="28">
      <iconSet iconSet="3TrafficLights2">
        <cfvo type="percent" val="0"/>
        <cfvo type="num" val="0.98"/>
        <cfvo type="num" val="1"/>
      </iconSet>
    </cfRule>
  </conditionalFormatting>
  <conditionalFormatting sqref="AI60">
    <cfRule type="iconSet" priority="27">
      <iconSet iconSet="3TrafficLights2">
        <cfvo type="percent" val="0"/>
        <cfvo type="num" val="0.98"/>
        <cfvo type="num" val="1"/>
      </iconSet>
    </cfRule>
  </conditionalFormatting>
  <conditionalFormatting sqref="AH67">
    <cfRule type="iconSet" priority="26">
      <iconSet iconSet="3TrafficLights2">
        <cfvo type="percent" val="0"/>
        <cfvo type="num" val="0.98"/>
        <cfvo type="num" val="1"/>
      </iconSet>
    </cfRule>
  </conditionalFormatting>
  <conditionalFormatting sqref="AI67">
    <cfRule type="iconSet" priority="25">
      <iconSet iconSet="3TrafficLights2">
        <cfvo type="percent" val="0"/>
        <cfvo type="num" val="0.98"/>
        <cfvo type="num" val="1"/>
      </iconSet>
    </cfRule>
  </conditionalFormatting>
  <conditionalFormatting sqref="AH70">
    <cfRule type="iconSet" priority="24">
      <iconSet iconSet="3TrafficLights2">
        <cfvo type="percent" val="0"/>
        <cfvo type="num" val="0.98"/>
        <cfvo type="num" val="1"/>
      </iconSet>
    </cfRule>
  </conditionalFormatting>
  <conditionalFormatting sqref="AI70">
    <cfRule type="iconSet" priority="23">
      <iconSet iconSet="3TrafficLights2">
        <cfvo type="percent" val="0"/>
        <cfvo type="num" val="0.98"/>
        <cfvo type="num" val="1"/>
      </iconSet>
    </cfRule>
  </conditionalFormatting>
  <conditionalFormatting sqref="AH74">
    <cfRule type="iconSet" priority="22">
      <iconSet iconSet="3TrafficLights2">
        <cfvo type="percent" val="0"/>
        <cfvo type="num" val="0.98"/>
        <cfvo type="num" val="1"/>
      </iconSet>
    </cfRule>
  </conditionalFormatting>
  <conditionalFormatting sqref="AI74">
    <cfRule type="iconSet" priority="21">
      <iconSet iconSet="3TrafficLights2">
        <cfvo type="percent" val="0"/>
        <cfvo type="num" val="0.98"/>
        <cfvo type="num" val="1"/>
      </iconSet>
    </cfRule>
  </conditionalFormatting>
  <conditionalFormatting sqref="AH75">
    <cfRule type="iconSet" priority="20">
      <iconSet iconSet="3TrafficLights2">
        <cfvo type="percent" val="0"/>
        <cfvo type="num" val="0.98"/>
        <cfvo type="num" val="1"/>
      </iconSet>
    </cfRule>
  </conditionalFormatting>
  <conditionalFormatting sqref="AI75">
    <cfRule type="iconSet" priority="19">
      <iconSet iconSet="3TrafficLights2">
        <cfvo type="percent" val="0"/>
        <cfvo type="num" val="0.98"/>
        <cfvo type="num" val="1"/>
      </iconSet>
    </cfRule>
  </conditionalFormatting>
  <conditionalFormatting sqref="AH83:AH85">
    <cfRule type="iconSet" priority="18">
      <iconSet iconSet="3TrafficLights2">
        <cfvo type="percent" val="0"/>
        <cfvo type="num" val="0.98"/>
        <cfvo type="num" val="1"/>
      </iconSet>
    </cfRule>
  </conditionalFormatting>
  <conditionalFormatting sqref="AI83:AI85">
    <cfRule type="iconSet" priority="17">
      <iconSet iconSet="3TrafficLights2">
        <cfvo type="percent" val="0"/>
        <cfvo type="num" val="0.98"/>
        <cfvo type="num" val="1"/>
      </iconSet>
    </cfRule>
  </conditionalFormatting>
  <conditionalFormatting sqref="AH78">
    <cfRule type="iconSet" priority="16">
      <iconSet iconSet="3TrafficLights2">
        <cfvo type="percent" val="0"/>
        <cfvo type="num" val="0.98"/>
        <cfvo type="num" val="1"/>
      </iconSet>
    </cfRule>
  </conditionalFormatting>
  <conditionalFormatting sqref="AI78">
    <cfRule type="iconSet" priority="15">
      <iconSet iconSet="3TrafficLights2">
        <cfvo type="percent" val="0"/>
        <cfvo type="num" val="0.98"/>
        <cfvo type="num" val="1"/>
      </iconSet>
    </cfRule>
  </conditionalFormatting>
  <conditionalFormatting sqref="AH79">
    <cfRule type="iconSet" priority="14">
      <iconSet iconSet="3TrafficLights2">
        <cfvo type="percent" val="0"/>
        <cfvo type="num" val="0.98"/>
        <cfvo type="num" val="1"/>
      </iconSet>
    </cfRule>
  </conditionalFormatting>
  <conditionalFormatting sqref="AI79">
    <cfRule type="iconSet" priority="13">
      <iconSet iconSet="3TrafficLights2">
        <cfvo type="percent" val="0"/>
        <cfvo type="num" val="0.98"/>
        <cfvo type="num" val="1"/>
      </iconSet>
    </cfRule>
  </conditionalFormatting>
  <conditionalFormatting sqref="AH81">
    <cfRule type="iconSet" priority="12">
      <iconSet iconSet="3TrafficLights2">
        <cfvo type="percent" val="0"/>
        <cfvo type="num" val="0.98"/>
        <cfvo type="num" val="1"/>
      </iconSet>
    </cfRule>
  </conditionalFormatting>
  <conditionalFormatting sqref="AI81">
    <cfRule type="iconSet" priority="11">
      <iconSet iconSet="3TrafficLights2">
        <cfvo type="percent" val="0"/>
        <cfvo type="num" val="0.98"/>
        <cfvo type="num" val="1"/>
      </iconSet>
    </cfRule>
  </conditionalFormatting>
  <conditionalFormatting sqref="AH35:AI35">
    <cfRule type="iconSet" priority="10">
      <iconSet iconSet="3TrafficLights2">
        <cfvo type="percent" val="0"/>
        <cfvo type="num" val="0.98"/>
        <cfvo type="num" val="1"/>
      </iconSet>
    </cfRule>
  </conditionalFormatting>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02F6BE-E729-49FC-8455-45848765626B}">
  <dimension ref="A1:AC79"/>
  <sheetViews>
    <sheetView workbookViewId="0">
      <selection activeCell="F10" sqref="F10"/>
    </sheetView>
  </sheetViews>
  <sheetFormatPr baseColWidth="10" defaultRowHeight="15" x14ac:dyDescent="0.25"/>
  <cols>
    <col min="1" max="1" width="51.42578125" customWidth="1"/>
    <col min="29" max="29" width="24.7109375" customWidth="1"/>
  </cols>
  <sheetData>
    <row r="1" spans="1:29" ht="60.75" thickBot="1" x14ac:dyDescent="0.3">
      <c r="A1" s="194" t="s">
        <v>83</v>
      </c>
      <c r="B1" s="194" t="s">
        <v>176</v>
      </c>
      <c r="C1" s="194" t="s">
        <v>172</v>
      </c>
      <c r="D1" s="195" t="s">
        <v>1</v>
      </c>
      <c r="E1" s="199" t="s">
        <v>215</v>
      </c>
      <c r="F1" s="208" t="s">
        <v>88</v>
      </c>
      <c r="G1" s="192" t="s">
        <v>80</v>
      </c>
      <c r="H1" s="209" t="s">
        <v>103</v>
      </c>
      <c r="I1" s="69" t="s">
        <v>89</v>
      </c>
      <c r="J1" s="69" t="s">
        <v>139</v>
      </c>
      <c r="K1" s="67" t="s">
        <v>81</v>
      </c>
      <c r="L1" s="24" t="s">
        <v>141</v>
      </c>
      <c r="M1" s="24" t="s">
        <v>105</v>
      </c>
      <c r="N1" s="276" t="s">
        <v>153</v>
      </c>
      <c r="O1" s="283" t="s">
        <v>90</v>
      </c>
      <c r="P1" s="284" t="s">
        <v>140</v>
      </c>
      <c r="Q1" s="284" t="s">
        <v>82</v>
      </c>
      <c r="R1" s="284" t="s">
        <v>142</v>
      </c>
      <c r="S1" s="284" t="s">
        <v>107</v>
      </c>
      <c r="T1" s="284" t="s">
        <v>153</v>
      </c>
      <c r="U1" s="285" t="s">
        <v>114</v>
      </c>
      <c r="V1" s="250" t="s">
        <v>143</v>
      </c>
      <c r="W1" s="24" t="s">
        <v>144</v>
      </c>
      <c r="X1" s="284" t="s">
        <v>270</v>
      </c>
      <c r="Y1" s="284" t="s">
        <v>271</v>
      </c>
      <c r="Z1" s="284" t="s">
        <v>272</v>
      </c>
      <c r="AA1" s="284" t="s">
        <v>153</v>
      </c>
      <c r="AB1" s="80" t="s">
        <v>316</v>
      </c>
      <c r="AC1" s="69" t="s">
        <v>102</v>
      </c>
    </row>
    <row r="2" spans="1:29" x14ac:dyDescent="0.25">
      <c r="A2" s="4" t="s">
        <v>2</v>
      </c>
      <c r="B2" s="54" t="s">
        <v>177</v>
      </c>
      <c r="C2" s="57" t="s">
        <v>186</v>
      </c>
      <c r="D2" s="32">
        <v>0.83</v>
      </c>
      <c r="E2" s="168">
        <v>0.77300000000000002</v>
      </c>
      <c r="F2" s="51">
        <v>0.79600000000000004</v>
      </c>
      <c r="G2" s="32">
        <v>0.77810000000000001</v>
      </c>
      <c r="H2" s="123">
        <f>+(G2-E2)/(F2-E2)</f>
        <v>0.22173913043478213</v>
      </c>
      <c r="I2" s="157">
        <v>0.80400000000000005</v>
      </c>
      <c r="J2" s="698">
        <v>0.80400000000000005</v>
      </c>
      <c r="K2" s="110">
        <v>0.79479999999999995</v>
      </c>
      <c r="L2" s="110">
        <v>0.79479999999999995</v>
      </c>
      <c r="M2" s="30">
        <f>+(K2-E2)/(I2-E2)</f>
        <v>0.70322580645161004</v>
      </c>
      <c r="N2" s="30">
        <f>+(L2-E2)/(D2-E2)</f>
        <v>0.38245614035087638</v>
      </c>
      <c r="O2" s="440">
        <v>0.81899999999999995</v>
      </c>
      <c r="P2" s="699">
        <v>0.81899999999999995</v>
      </c>
      <c r="Q2" s="308">
        <v>0.80110000000000003</v>
      </c>
      <c r="R2" s="280">
        <v>0.80110000000000003</v>
      </c>
      <c r="S2" s="281">
        <f>+(Q2-E2)/(O2-E2)</f>
        <v>0.61086956521739255</v>
      </c>
      <c r="T2" s="281">
        <f>+(R2-E2)/(D2-E2)</f>
        <v>0.49298245614035163</v>
      </c>
      <c r="U2" s="282" t="s">
        <v>115</v>
      </c>
      <c r="V2" s="714">
        <v>0.83</v>
      </c>
      <c r="W2" s="110">
        <f>+D2</f>
        <v>0.83</v>
      </c>
      <c r="X2" s="169">
        <f>+Q2</f>
        <v>0.80110000000000003</v>
      </c>
      <c r="Y2" s="169">
        <f>+R2</f>
        <v>0.80110000000000003</v>
      </c>
      <c r="Z2" s="281">
        <f>+(X2-E2)/(V2-E2)</f>
        <v>0.49298245614035163</v>
      </c>
      <c r="AA2" s="281">
        <f>+(Y2-E2)/(W2-E2)</f>
        <v>0.49298245614035163</v>
      </c>
      <c r="AB2" s="169">
        <f>+Z2</f>
        <v>0.49298245614035163</v>
      </c>
      <c r="AC2" s="715" t="s">
        <v>375</v>
      </c>
    </row>
    <row r="3" spans="1:29" ht="30" x14ac:dyDescent="0.25">
      <c r="A3" s="4" t="s">
        <v>3</v>
      </c>
      <c r="B3" s="54" t="s">
        <v>177</v>
      </c>
      <c r="C3" s="57" t="s">
        <v>186</v>
      </c>
      <c r="D3" s="32">
        <v>0.45</v>
      </c>
      <c r="E3" s="168">
        <v>0.372</v>
      </c>
      <c r="F3" s="51">
        <v>0.39219999999999999</v>
      </c>
      <c r="G3" s="32">
        <v>0.39700000000000002</v>
      </c>
      <c r="H3" s="123">
        <f t="shared" ref="H3" si="0">+(G3-E3)/(F3-E3)</f>
        <v>1.2376237623762389</v>
      </c>
      <c r="I3" s="158">
        <v>0.41149999999999998</v>
      </c>
      <c r="J3" s="44">
        <v>0.41149999999999998</v>
      </c>
      <c r="K3" s="32">
        <v>0.45700000000000002</v>
      </c>
      <c r="L3" s="32">
        <v>0.45700000000000002</v>
      </c>
      <c r="M3" s="30">
        <f t="shared" ref="M3" si="1">+(K3-E3)/(I3-E3)</f>
        <v>2.1518987341772169</v>
      </c>
      <c r="N3" s="30">
        <f>+(L3-E3)/(D3-E3)</f>
        <v>1.0897435897435899</v>
      </c>
      <c r="O3" s="158">
        <v>0.43009999999999998</v>
      </c>
      <c r="P3" s="32">
        <v>0.43009999999999998</v>
      </c>
      <c r="Q3" s="308">
        <f>+K3</f>
        <v>0.45700000000000002</v>
      </c>
      <c r="R3" s="60">
        <f>+Q3</f>
        <v>0.45700000000000002</v>
      </c>
      <c r="S3" s="281">
        <f>+(Q3-E3)/(O3-E3)</f>
        <v>1.462994836488813</v>
      </c>
      <c r="T3" s="281">
        <f>+(R3-E3)/(D3-E3)</f>
        <v>1.0897435897435899</v>
      </c>
      <c r="U3" s="123" t="s">
        <v>371</v>
      </c>
      <c r="V3" s="716">
        <v>0.45</v>
      </c>
      <c r="W3" s="32">
        <f>+D3</f>
        <v>0.45</v>
      </c>
      <c r="X3" s="168">
        <f>+Q3</f>
        <v>0.45700000000000002</v>
      </c>
      <c r="Y3" s="168">
        <f>+X3</f>
        <v>0.45700000000000002</v>
      </c>
      <c r="Z3" s="281">
        <f>+(X3-E3)/(V3-E3)</f>
        <v>1.0897435897435899</v>
      </c>
      <c r="AA3" s="281">
        <f>+(Y3-E3)/(W3-E3)</f>
        <v>1.0897435897435899</v>
      </c>
      <c r="AB3" s="168">
        <f>+Z3</f>
        <v>1.0897435897435899</v>
      </c>
      <c r="AC3" s="715" t="s">
        <v>376</v>
      </c>
    </row>
    <row r="4" spans="1:29" ht="30" x14ac:dyDescent="0.25">
      <c r="A4" s="4" t="s">
        <v>4</v>
      </c>
      <c r="B4" s="54" t="s">
        <v>177</v>
      </c>
      <c r="C4" s="57" t="s">
        <v>183</v>
      </c>
      <c r="D4" s="32">
        <v>0.93</v>
      </c>
      <c r="E4" s="168">
        <v>0.871</v>
      </c>
      <c r="F4" s="51">
        <v>0.8901</v>
      </c>
      <c r="G4" s="32">
        <v>0.86770000000000003</v>
      </c>
      <c r="H4" s="123">
        <f>+G4/F4</f>
        <v>0.97483428828221552</v>
      </c>
      <c r="I4" s="158">
        <v>0.91090000000000004</v>
      </c>
      <c r="J4" s="44">
        <v>0.91090000000000004</v>
      </c>
      <c r="K4" s="32">
        <v>0.86699999999999999</v>
      </c>
      <c r="L4" s="31">
        <v>0.86699999999999999</v>
      </c>
      <c r="M4" s="30">
        <f>+K4/I4</f>
        <v>0.95180590624656924</v>
      </c>
      <c r="N4" s="30">
        <f>+L4/J4</f>
        <v>0.95180590624656924</v>
      </c>
      <c r="O4" s="158">
        <v>0.91681999999999997</v>
      </c>
      <c r="P4" s="31">
        <v>0.91681999999999997</v>
      </c>
      <c r="Q4" s="308">
        <v>0.86040000000000005</v>
      </c>
      <c r="R4" s="60">
        <v>0.86040000000000005</v>
      </c>
      <c r="S4" s="281">
        <f>+Q4/O4</f>
        <v>0.938461202853341</v>
      </c>
      <c r="T4" s="30">
        <f>+R4/P4</f>
        <v>0.938461202853341</v>
      </c>
      <c r="U4" s="123" t="s">
        <v>115</v>
      </c>
      <c r="V4" s="716">
        <v>0.93</v>
      </c>
      <c r="W4" s="32">
        <f>+D4</f>
        <v>0.93</v>
      </c>
      <c r="X4" s="168">
        <f>+Q4</f>
        <v>0.86040000000000005</v>
      </c>
      <c r="Y4" s="168">
        <f>+X4</f>
        <v>0.86040000000000005</v>
      </c>
      <c r="Z4" s="281">
        <f>+X4/V4</f>
        <v>0.92516129032258065</v>
      </c>
      <c r="AA4" s="30">
        <f>+Y4/W4</f>
        <v>0.92516129032258065</v>
      </c>
      <c r="AB4" s="168">
        <f>+Z4</f>
        <v>0.92516129032258065</v>
      </c>
      <c r="AC4" s="715" t="s">
        <v>375</v>
      </c>
    </row>
    <row r="5" spans="1:29" ht="30" x14ac:dyDescent="0.25">
      <c r="A5" s="4" t="s">
        <v>5</v>
      </c>
      <c r="B5" s="54" t="s">
        <v>177</v>
      </c>
      <c r="C5" s="57" t="s">
        <v>183</v>
      </c>
      <c r="D5" s="13">
        <v>2.5000000000000001E-2</v>
      </c>
      <c r="E5" s="168">
        <v>3.1E-2</v>
      </c>
      <c r="F5" s="61">
        <v>3.0300000000000001E-2</v>
      </c>
      <c r="G5" s="13">
        <v>3.2599999999999997E-2</v>
      </c>
      <c r="H5" s="123">
        <f>(E5-G5)/(E5-F5)</f>
        <v>-2.2857142857142843</v>
      </c>
      <c r="I5" s="158">
        <v>2.9499999999999998E-2</v>
      </c>
      <c r="J5" s="38">
        <v>2.9499999999999998E-2</v>
      </c>
      <c r="K5" s="32">
        <v>3.7199999999999997E-2</v>
      </c>
      <c r="L5" s="14">
        <v>3.7199999999999997E-2</v>
      </c>
      <c r="M5" s="437">
        <f>+(E5-K5)/(E5-I5)</f>
        <v>-4.1333333333333275</v>
      </c>
      <c r="N5" s="442">
        <f>+(E5-L5)/(E5-D5)</f>
        <v>-1.0333333333333332</v>
      </c>
      <c r="O5" s="51">
        <v>2.8799999999999999E-2</v>
      </c>
      <c r="P5" s="14">
        <v>2.8799999999999999E-2</v>
      </c>
      <c r="Q5" s="308">
        <v>3.0800000000000001E-2</v>
      </c>
      <c r="R5" s="60">
        <v>3.0800000000000001E-2</v>
      </c>
      <c r="S5" s="30">
        <f>+(E5-Q5)/(E5-O5)</f>
        <v>9.0909090909090329E-2</v>
      </c>
      <c r="T5" s="30">
        <f>(E5-R5)/(E5-P5)</f>
        <v>9.0909090909090329E-2</v>
      </c>
      <c r="U5" s="123" t="s">
        <v>115</v>
      </c>
      <c r="V5" s="716">
        <v>2.5000000000000001E-2</v>
      </c>
      <c r="W5" s="13">
        <f>+D5</f>
        <v>2.5000000000000001E-2</v>
      </c>
      <c r="X5" s="167">
        <f>+Q5</f>
        <v>3.0800000000000001E-2</v>
      </c>
      <c r="Y5" s="167">
        <f>+R5</f>
        <v>3.0800000000000001E-2</v>
      </c>
      <c r="Z5" s="30">
        <f>(E5-X5)/(E5-V5)</f>
        <v>3.3333333333333139E-2</v>
      </c>
      <c r="AA5" s="30">
        <f>+(E5-Y5)/(E5-W5)</f>
        <v>3.3333333333333139E-2</v>
      </c>
      <c r="AB5" s="168">
        <f>+Z5</f>
        <v>3.3333333333333139E-2</v>
      </c>
      <c r="AC5" s="715" t="s">
        <v>375</v>
      </c>
    </row>
    <row r="6" spans="1:29" ht="30" x14ac:dyDescent="0.25">
      <c r="A6" s="4" t="s">
        <v>156</v>
      </c>
      <c r="B6" s="54" t="s">
        <v>177</v>
      </c>
      <c r="C6" s="57" t="s">
        <v>186</v>
      </c>
      <c r="D6" s="13">
        <v>0.69</v>
      </c>
      <c r="E6" s="168">
        <v>0.621</v>
      </c>
      <c r="F6" s="61">
        <v>0.63278000000000001</v>
      </c>
      <c r="G6" s="14">
        <v>0.63139999999999996</v>
      </c>
      <c r="H6" s="123">
        <f>+(G6-E6)/(F6-E6)</f>
        <v>0.88285229202036963</v>
      </c>
      <c r="I6" s="158">
        <v>0.65627000000000002</v>
      </c>
      <c r="J6" s="60">
        <v>0.65629999999999999</v>
      </c>
      <c r="K6" s="32">
        <v>0.64980000000000004</v>
      </c>
      <c r="L6" s="14">
        <v>0.64980000000000004</v>
      </c>
      <c r="M6" s="30">
        <f>+(K6-E6)/(I6-E6)</f>
        <v>0.81655798128721369</v>
      </c>
      <c r="N6" s="30">
        <f>+(L6-E6)/(D6-E6)</f>
        <v>0.41739130434782706</v>
      </c>
      <c r="O6" s="158">
        <v>0.67976000000000003</v>
      </c>
      <c r="P6" s="14">
        <v>0.67976000000000003</v>
      </c>
      <c r="Q6" s="308">
        <v>0.66759999999999997</v>
      </c>
      <c r="R6" s="60">
        <f>+Q6</f>
        <v>0.66759999999999997</v>
      </c>
      <c r="S6" s="281">
        <f>+(Q6-E6)/(O6-E6)</f>
        <v>0.79305650102110192</v>
      </c>
      <c r="T6" s="281">
        <f>+(R6-E6)/(D6-E6)</f>
        <v>0.67536231884057984</v>
      </c>
      <c r="U6" s="123" t="s">
        <v>115</v>
      </c>
      <c r="V6" s="716">
        <v>0.69</v>
      </c>
      <c r="W6" s="13">
        <f>+D6</f>
        <v>0.69</v>
      </c>
      <c r="X6" s="167">
        <f>+Q6</f>
        <v>0.66759999999999997</v>
      </c>
      <c r="Y6" s="167">
        <f>+X6</f>
        <v>0.66759999999999997</v>
      </c>
      <c r="Z6" s="281">
        <f>+(X6-E6)/(V6-E6)</f>
        <v>0.67536231884057984</v>
      </c>
      <c r="AA6" s="281">
        <f>+(Y6-E6)/(W6-E6)</f>
        <v>0.67536231884057984</v>
      </c>
      <c r="AB6" s="168">
        <f t="shared" ref="AB6" si="2">+Z6</f>
        <v>0.67536231884057984</v>
      </c>
      <c r="AC6" s="715" t="s">
        <v>375</v>
      </c>
    </row>
    <row r="7" spans="1:29" ht="30" x14ac:dyDescent="0.25">
      <c r="A7" s="4" t="s">
        <v>7</v>
      </c>
      <c r="B7" s="54" t="s">
        <v>177</v>
      </c>
      <c r="C7" s="57" t="s">
        <v>189</v>
      </c>
      <c r="D7" s="29">
        <v>1000</v>
      </c>
      <c r="E7" s="200">
        <v>168</v>
      </c>
      <c r="F7" s="700">
        <v>150</v>
      </c>
      <c r="G7" s="17">
        <v>486</v>
      </c>
      <c r="H7" s="123">
        <f>+G7/F7</f>
        <v>3.24</v>
      </c>
      <c r="I7" s="180">
        <v>300</v>
      </c>
      <c r="J7" s="701">
        <f>+F7+I7</f>
        <v>450</v>
      </c>
      <c r="K7" s="18">
        <v>248</v>
      </c>
      <c r="L7" s="18">
        <f>+G7+K7</f>
        <v>734</v>
      </c>
      <c r="M7" s="438">
        <f>+K7/I7</f>
        <v>0.82666666666666666</v>
      </c>
      <c r="N7" s="442">
        <f>+L7/$K7</f>
        <v>2.9596774193548385</v>
      </c>
      <c r="O7" s="56">
        <f>350</f>
        <v>350</v>
      </c>
      <c r="P7" s="27">
        <f>+J7+O7</f>
        <v>800</v>
      </c>
      <c r="Q7" s="460">
        <v>62</v>
      </c>
      <c r="R7" s="63">
        <f>+L7+Q7</f>
        <v>796</v>
      </c>
      <c r="S7" s="30">
        <f>+Q7/O7</f>
        <v>0.17714285714285713</v>
      </c>
      <c r="T7" s="30">
        <f>+R7/$Q7</f>
        <v>12.838709677419354</v>
      </c>
      <c r="U7" s="126" t="s">
        <v>115</v>
      </c>
      <c r="V7" s="717">
        <v>200</v>
      </c>
      <c r="W7" s="29">
        <f>+P7+V7</f>
        <v>1000</v>
      </c>
      <c r="X7" s="165">
        <v>0</v>
      </c>
      <c r="Y7" s="165">
        <f>+R7+X7</f>
        <v>796</v>
      </c>
      <c r="Z7" s="30">
        <f t="shared" ref="Z7" si="3">+X7/V7</f>
        <v>0</v>
      </c>
      <c r="AA7" s="30">
        <f>+Y7/W7</f>
        <v>0.79600000000000004</v>
      </c>
      <c r="AB7" s="168">
        <f>+AA7</f>
        <v>0.79600000000000004</v>
      </c>
      <c r="AC7" s="715" t="s">
        <v>375</v>
      </c>
    </row>
    <row r="8" spans="1:29" ht="45" x14ac:dyDescent="0.25">
      <c r="A8" s="4" t="s">
        <v>8</v>
      </c>
      <c r="B8" s="54" t="s">
        <v>177</v>
      </c>
      <c r="C8" s="57" t="s">
        <v>183</v>
      </c>
      <c r="D8" s="13">
        <v>0.45</v>
      </c>
      <c r="E8" s="168">
        <v>0.371</v>
      </c>
      <c r="F8" s="61">
        <v>0.38854</v>
      </c>
      <c r="G8" s="14">
        <v>0.42159999999999997</v>
      </c>
      <c r="H8" s="123">
        <f>+G8/F8</f>
        <v>1.0850877644515364</v>
      </c>
      <c r="I8" s="158">
        <v>0.40622999999999998</v>
      </c>
      <c r="J8" s="60">
        <v>0.40620000000000001</v>
      </c>
      <c r="K8" s="32">
        <v>0.38200000000000001</v>
      </c>
      <c r="L8" s="14">
        <v>0.38200000000000001</v>
      </c>
      <c r="M8" s="30">
        <f>+K8/I8</f>
        <v>0.94035398665780479</v>
      </c>
      <c r="N8" s="30">
        <f>+L8/J8</f>
        <v>0.94042343673067452</v>
      </c>
      <c r="O8" s="158">
        <v>0.42392000000000002</v>
      </c>
      <c r="P8" s="14">
        <v>0.42392000000000002</v>
      </c>
      <c r="Q8" s="311">
        <v>0.34360000000000002</v>
      </c>
      <c r="R8" s="60">
        <f>+Q8</f>
        <v>0.34360000000000002</v>
      </c>
      <c r="S8" s="281">
        <f>+Q8/O8</f>
        <v>0.81053028873372335</v>
      </c>
      <c r="T8" s="30">
        <f>+R8/P8</f>
        <v>0.81053028873372335</v>
      </c>
      <c r="U8" s="123" t="s">
        <v>115</v>
      </c>
      <c r="V8" s="716">
        <v>0.45</v>
      </c>
      <c r="W8" s="13">
        <f t="shared" ref="W8:W27" si="4">+D8</f>
        <v>0.45</v>
      </c>
      <c r="X8" s="167">
        <f>+Q8</f>
        <v>0.34360000000000002</v>
      </c>
      <c r="Y8" s="167">
        <f>+X8</f>
        <v>0.34360000000000002</v>
      </c>
      <c r="Z8" s="281">
        <f>+X8/V8</f>
        <v>0.76355555555555554</v>
      </c>
      <c r="AA8" s="30">
        <f>+Y8/W8</f>
        <v>0.76355555555555554</v>
      </c>
      <c r="AB8" s="168">
        <f t="shared" ref="AB8:AB10" si="5">+AA8</f>
        <v>0.76355555555555554</v>
      </c>
      <c r="AC8" s="715" t="s">
        <v>376</v>
      </c>
    </row>
    <row r="9" spans="1:29" ht="45" x14ac:dyDescent="0.25">
      <c r="A9" s="4" t="s">
        <v>9</v>
      </c>
      <c r="B9" s="54" t="s">
        <v>177</v>
      </c>
      <c r="C9" s="57" t="s">
        <v>183</v>
      </c>
      <c r="D9" s="13">
        <v>0.42</v>
      </c>
      <c r="E9" s="168">
        <v>0.35699999999999998</v>
      </c>
      <c r="F9" s="61">
        <v>0.37385000000000002</v>
      </c>
      <c r="G9" s="14">
        <v>0.42659999999999998</v>
      </c>
      <c r="H9" s="123">
        <f>+G9/F9</f>
        <v>1.1410993714056439</v>
      </c>
      <c r="I9" s="158">
        <v>0.39087</v>
      </c>
      <c r="J9" s="60">
        <v>0.39090000000000003</v>
      </c>
      <c r="K9" s="32">
        <v>0.39400000000000002</v>
      </c>
      <c r="L9" s="14">
        <v>0.39400000000000002</v>
      </c>
      <c r="M9" s="30">
        <f>+K9/I9</f>
        <v>1.0080077775219383</v>
      </c>
      <c r="N9" s="30">
        <f>+L9/J9</f>
        <v>1.0079304169864416</v>
      </c>
      <c r="O9" s="158">
        <v>0.40788999999999997</v>
      </c>
      <c r="P9" s="14">
        <v>0.40788999999999997</v>
      </c>
      <c r="Q9" s="311">
        <v>0.35289999999999999</v>
      </c>
      <c r="R9" s="60">
        <f>+Q9</f>
        <v>0.35289999999999999</v>
      </c>
      <c r="S9" s="281">
        <f>+Q9/O9</f>
        <v>0.86518424084924861</v>
      </c>
      <c r="T9" s="30">
        <f>+R9/P9</f>
        <v>0.86518424084924861</v>
      </c>
      <c r="U9" s="123" t="s">
        <v>115</v>
      </c>
      <c r="V9" s="716">
        <v>0.42</v>
      </c>
      <c r="W9" s="13">
        <f t="shared" si="4"/>
        <v>0.42</v>
      </c>
      <c r="X9" s="167">
        <f>+Q9</f>
        <v>0.35289999999999999</v>
      </c>
      <c r="Y9" s="167">
        <f>+X9</f>
        <v>0.35289999999999999</v>
      </c>
      <c r="Z9" s="281">
        <f>+X9/V9</f>
        <v>0.84023809523809523</v>
      </c>
      <c r="AA9" s="30">
        <f>+Y9/W9</f>
        <v>0.84023809523809523</v>
      </c>
      <c r="AB9" s="168">
        <f t="shared" si="5"/>
        <v>0.84023809523809523</v>
      </c>
      <c r="AC9" s="715" t="s">
        <v>376</v>
      </c>
    </row>
    <row r="10" spans="1:29" x14ac:dyDescent="0.25">
      <c r="A10" s="78" t="s">
        <v>10</v>
      </c>
      <c r="B10" s="54" t="s">
        <v>177</v>
      </c>
      <c r="C10" s="57" t="s">
        <v>186</v>
      </c>
      <c r="D10" s="32">
        <v>5.1700000000000003E-2</v>
      </c>
      <c r="E10" s="168">
        <v>5.8099999999999999E-2</v>
      </c>
      <c r="F10" s="51">
        <v>5.3499999999999999E-2</v>
      </c>
      <c r="G10" s="31">
        <v>5.7500000000000002E-2</v>
      </c>
      <c r="H10" s="123">
        <f>(E10-G10)/(E10-F10)</f>
        <v>0.13043478260869487</v>
      </c>
      <c r="I10" s="158">
        <v>5.3600000000000002E-2</v>
      </c>
      <c r="J10" s="40">
        <v>5.3600000000000002E-2</v>
      </c>
      <c r="K10" s="32">
        <v>5.3499999999999999E-2</v>
      </c>
      <c r="L10" s="31">
        <v>5.3499999999999999E-2</v>
      </c>
      <c r="M10" s="30">
        <f>+(E10-K10)/(E10-I10)</f>
        <v>1.0222222222222228</v>
      </c>
      <c r="N10" s="123">
        <f>+(E10-L10)/(E10-D10)</f>
        <v>0.71875000000000044</v>
      </c>
      <c r="O10" s="51">
        <v>5.2499999999999998E-2</v>
      </c>
      <c r="P10" s="31">
        <v>5.2499999999999998E-2</v>
      </c>
      <c r="Q10" s="311">
        <v>5.2400000000000002E-2</v>
      </c>
      <c r="R10" s="40">
        <v>5.2400000000000002E-2</v>
      </c>
      <c r="S10" s="30">
        <f>+(E10-Q10)/(E10-O10)</f>
        <v>1.0178571428571421</v>
      </c>
      <c r="T10" s="30">
        <f>(E10-R10)/(E10-P10)</f>
        <v>1.0178571428571421</v>
      </c>
      <c r="U10" s="123" t="s">
        <v>115</v>
      </c>
      <c r="V10" s="716">
        <v>5.1700000000000003E-2</v>
      </c>
      <c r="W10" s="32">
        <f t="shared" si="4"/>
        <v>5.1700000000000003E-2</v>
      </c>
      <c r="X10" s="168">
        <v>5.2400000000000002E-2</v>
      </c>
      <c r="Y10" s="168">
        <v>5.2400000000000002E-2</v>
      </c>
      <c r="Z10" s="30">
        <f>(E10-X10)/(E10-V10)</f>
        <v>0.890625</v>
      </c>
      <c r="AA10" s="30">
        <f>+(E10-Y10)/(E10-W10)</f>
        <v>0.890625</v>
      </c>
      <c r="AB10" s="168">
        <f t="shared" si="5"/>
        <v>0.890625</v>
      </c>
      <c r="AC10" s="715" t="s">
        <v>375</v>
      </c>
    </row>
    <row r="11" spans="1:29" ht="30" customHeight="1" x14ac:dyDescent="0.25">
      <c r="A11" s="78" t="s">
        <v>11</v>
      </c>
      <c r="B11" s="54" t="s">
        <v>177</v>
      </c>
      <c r="C11" s="57" t="s">
        <v>192</v>
      </c>
      <c r="D11" s="29">
        <v>357218</v>
      </c>
      <c r="E11" s="200">
        <v>419082</v>
      </c>
      <c r="F11" s="702">
        <f>121397</f>
        <v>121397</v>
      </c>
      <c r="G11" s="19">
        <v>71577</v>
      </c>
      <c r="H11" s="123">
        <f>+G11/F11</f>
        <v>0.58961094590475882</v>
      </c>
      <c r="I11" s="161">
        <v>170821</v>
      </c>
      <c r="J11" s="55">
        <f>+F11+I11</f>
        <v>292218</v>
      </c>
      <c r="K11" s="19">
        <f>85159</f>
        <v>85159</v>
      </c>
      <c r="L11" s="27">
        <f>+G11+K11</f>
        <v>156736</v>
      </c>
      <c r="M11" s="437">
        <f>+K11/I11</f>
        <v>0.49852769858506857</v>
      </c>
      <c r="N11" s="442">
        <f>+L11/$K11</f>
        <v>1.8405101046278138</v>
      </c>
      <c r="O11" s="56">
        <v>35000</v>
      </c>
      <c r="P11" s="27">
        <f>+J11+O11</f>
        <v>327218</v>
      </c>
      <c r="Q11" s="66">
        <v>52634</v>
      </c>
      <c r="R11" s="66">
        <f>+L11+Q11</f>
        <v>209370</v>
      </c>
      <c r="S11" s="30">
        <f>+Q11/O11</f>
        <v>1.5038285714285715</v>
      </c>
      <c r="T11" s="30">
        <f>+R11/$Q11</f>
        <v>3.9778470190371245</v>
      </c>
      <c r="U11" s="123" t="s">
        <v>115</v>
      </c>
      <c r="V11" s="717">
        <v>30000</v>
      </c>
      <c r="W11" s="29">
        <f>+P11+V11</f>
        <v>357218</v>
      </c>
      <c r="X11" s="165">
        <v>13334</v>
      </c>
      <c r="Y11" s="165">
        <f>+R11</f>
        <v>209370</v>
      </c>
      <c r="Z11" s="30">
        <f>+X11/V11</f>
        <v>0.44446666666666668</v>
      </c>
      <c r="AA11" s="30">
        <f>+Y11/W11</f>
        <v>0.58611268189172994</v>
      </c>
      <c r="AB11" s="168">
        <f>+AA11</f>
        <v>0.58611268189172994</v>
      </c>
      <c r="AC11" s="715" t="s">
        <v>420</v>
      </c>
    </row>
    <row r="12" spans="1:29" ht="30" x14ac:dyDescent="0.25">
      <c r="A12" s="4" t="s">
        <v>12</v>
      </c>
      <c r="B12" s="54" t="s">
        <v>177</v>
      </c>
      <c r="C12" s="57" t="s">
        <v>186</v>
      </c>
      <c r="D12" s="32">
        <v>0.75670000000000004</v>
      </c>
      <c r="E12" s="168">
        <v>0.7147</v>
      </c>
      <c r="F12" s="51">
        <v>0.71479999999999999</v>
      </c>
      <c r="G12" s="32">
        <v>0.72970000000000002</v>
      </c>
      <c r="H12" s="123">
        <f>+(G12-E12)/(F12-E12)</f>
        <v>150.00000000001666</v>
      </c>
      <c r="I12" s="158">
        <v>0.72319999999999995</v>
      </c>
      <c r="J12" s="40">
        <v>0.72319999999999995</v>
      </c>
      <c r="K12" s="32">
        <v>0.75239999999999996</v>
      </c>
      <c r="L12" s="32">
        <v>0.75239999999999996</v>
      </c>
      <c r="M12" s="30">
        <f>+(K12-E12)/(I12-E12)</f>
        <v>4.4352941176470786</v>
      </c>
      <c r="N12" s="30">
        <f>+(L12-E12)/(D12-E12)</f>
        <v>0.89761904761904576</v>
      </c>
      <c r="O12" s="158">
        <v>0.74329999999999996</v>
      </c>
      <c r="P12" s="31">
        <v>0.74329999999999996</v>
      </c>
      <c r="Q12" s="40">
        <v>0.76570000000000005</v>
      </c>
      <c r="R12" s="60">
        <v>0.76570000000000005</v>
      </c>
      <c r="S12" s="281">
        <f>+(Q12-E12)/(O12-E12)</f>
        <v>1.7832167832167873</v>
      </c>
      <c r="T12" s="30">
        <f>+(R12-E12)/(D12-E12)</f>
        <v>1.2142857142857142</v>
      </c>
      <c r="U12" s="123" t="s">
        <v>115</v>
      </c>
      <c r="V12" s="716">
        <f>+D12</f>
        <v>0.75670000000000004</v>
      </c>
      <c r="W12" s="32">
        <f>+V12</f>
        <v>0.75670000000000004</v>
      </c>
      <c r="X12" s="168">
        <v>0.76570000000000005</v>
      </c>
      <c r="Y12" s="168">
        <v>0.76570000000000005</v>
      </c>
      <c r="Z12" s="30">
        <f>+(X12-E12)/(V12-E12)</f>
        <v>1.2142857142857142</v>
      </c>
      <c r="AA12" s="30">
        <f>+(Y12-E12)/(D12-E12)</f>
        <v>1.2142857142857142</v>
      </c>
      <c r="AB12" s="168">
        <f>+AA12</f>
        <v>1.2142857142857142</v>
      </c>
      <c r="AC12" s="715" t="s">
        <v>375</v>
      </c>
    </row>
    <row r="13" spans="1:29" x14ac:dyDescent="0.25">
      <c r="A13" s="4" t="s">
        <v>13</v>
      </c>
      <c r="B13" s="54" t="s">
        <v>177</v>
      </c>
      <c r="C13" s="57" t="s">
        <v>186</v>
      </c>
      <c r="D13" s="32">
        <v>0.84330000000000005</v>
      </c>
      <c r="E13" s="168">
        <v>0.73</v>
      </c>
      <c r="F13" s="51">
        <v>0.77539999999999998</v>
      </c>
      <c r="G13" s="32">
        <v>0.73770000000000002</v>
      </c>
      <c r="H13" s="123">
        <f>+(G13-E13)/(F13-E13)</f>
        <v>0.16960352422907579</v>
      </c>
      <c r="I13" s="158">
        <v>0.79800000000000004</v>
      </c>
      <c r="J13" s="40">
        <v>0.70499999999999996</v>
      </c>
      <c r="K13" s="32">
        <v>0.75439999999999996</v>
      </c>
      <c r="L13" s="32">
        <v>0.75439999999999996</v>
      </c>
      <c r="M13" s="30">
        <f>+(K13-E13)/(I13-E13)</f>
        <v>0.35882352941176404</v>
      </c>
      <c r="N13" s="30">
        <f>+(L13-E13)/(D13-E13)</f>
        <v>0.21535745807590434</v>
      </c>
      <c r="O13" s="158">
        <v>0.82069999999999999</v>
      </c>
      <c r="P13" s="31">
        <v>0.70930000000000004</v>
      </c>
      <c r="Q13" s="40">
        <v>0.75449999999999995</v>
      </c>
      <c r="R13" s="60">
        <v>0.75449999999999995</v>
      </c>
      <c r="S13" s="281">
        <f>+(Q13-E13)/(O13-E13)</f>
        <v>0.27012127894156523</v>
      </c>
      <c r="T13" s="30">
        <f>+(R13-E13)/(D13-E13)</f>
        <v>0.21624007060900222</v>
      </c>
      <c r="U13" s="123" t="s">
        <v>115</v>
      </c>
      <c r="V13" s="716">
        <v>0.84330000000000005</v>
      </c>
      <c r="W13" s="32">
        <f t="shared" si="4"/>
        <v>0.84330000000000005</v>
      </c>
      <c r="X13" s="168">
        <f>+Q13</f>
        <v>0.75449999999999995</v>
      </c>
      <c r="Y13" s="168">
        <f>+X13</f>
        <v>0.75449999999999995</v>
      </c>
      <c r="Z13" s="30">
        <f>+(X13-E13)/(V13-E13)</f>
        <v>0.21624007060900222</v>
      </c>
      <c r="AA13" s="30">
        <f>+(Y13-E13)/(D13-E13)</f>
        <v>0.21624007060900222</v>
      </c>
      <c r="AB13" s="168">
        <f>+AA13</f>
        <v>0.21624007060900222</v>
      </c>
      <c r="AC13" s="715" t="s">
        <v>375</v>
      </c>
    </row>
    <row r="14" spans="1:29" ht="30" x14ac:dyDescent="0.25">
      <c r="A14" s="4" t="s">
        <v>14</v>
      </c>
      <c r="B14" s="54" t="s">
        <v>177</v>
      </c>
      <c r="C14" s="57" t="s">
        <v>193</v>
      </c>
      <c r="D14" s="29">
        <v>135964</v>
      </c>
      <c r="E14" s="200">
        <v>109658</v>
      </c>
      <c r="F14" s="702">
        <v>120180</v>
      </c>
      <c r="G14" s="19">
        <v>102105</v>
      </c>
      <c r="H14" s="249">
        <f>+G14/F14</f>
        <v>0.849600599101348</v>
      </c>
      <c r="I14" s="161">
        <v>125441</v>
      </c>
      <c r="J14" s="55">
        <v>125441</v>
      </c>
      <c r="K14" s="19">
        <v>107437</v>
      </c>
      <c r="L14" s="19">
        <v>107437</v>
      </c>
      <c r="M14" s="30">
        <f>+(K14-0)/(I14-0)</f>
        <v>0.8564743584633413</v>
      </c>
      <c r="N14" s="30">
        <f>+(L14-0)/(D14-0)</f>
        <v>0.79018710835221084</v>
      </c>
      <c r="O14" s="161">
        <v>130703</v>
      </c>
      <c r="P14" s="27">
        <v>130703</v>
      </c>
      <c r="Q14" s="66">
        <v>112959</v>
      </c>
      <c r="R14" s="66">
        <v>112959</v>
      </c>
      <c r="S14" s="30">
        <f>+Q14/O14</f>
        <v>0.86424183071543881</v>
      </c>
      <c r="T14" s="30">
        <f t="shared" ref="T14" si="6">+R14/$Q14</f>
        <v>1</v>
      </c>
      <c r="U14" s="123" t="s">
        <v>115</v>
      </c>
      <c r="V14" s="717">
        <v>135964</v>
      </c>
      <c r="W14" s="29">
        <f t="shared" si="4"/>
        <v>135964</v>
      </c>
      <c r="X14" s="165">
        <v>0</v>
      </c>
      <c r="Y14" s="165">
        <f>+R14</f>
        <v>112959</v>
      </c>
      <c r="Z14" s="281">
        <f t="shared" ref="Z14:AA18" si="7">+X14/V14</f>
        <v>0</v>
      </c>
      <c r="AA14" s="30">
        <f t="shared" si="7"/>
        <v>0.83080080021182079</v>
      </c>
      <c r="AB14" s="168">
        <f>+AA14</f>
        <v>0.83080080021182079</v>
      </c>
      <c r="AC14" s="715" t="s">
        <v>375</v>
      </c>
    </row>
    <row r="15" spans="1:29" ht="30" x14ac:dyDescent="0.25">
      <c r="A15" s="4" t="s">
        <v>15</v>
      </c>
      <c r="B15" s="54" t="s">
        <v>177</v>
      </c>
      <c r="C15" s="57" t="s">
        <v>194</v>
      </c>
      <c r="D15" s="29">
        <v>311</v>
      </c>
      <c r="E15" s="200">
        <v>251</v>
      </c>
      <c r="F15" s="702">
        <v>275</v>
      </c>
      <c r="G15" s="18">
        <v>247</v>
      </c>
      <c r="H15" s="249">
        <f>+G15/F15</f>
        <v>0.89818181818181819</v>
      </c>
      <c r="I15" s="161">
        <v>287</v>
      </c>
      <c r="J15" s="701">
        <v>287</v>
      </c>
      <c r="K15" s="19">
        <v>250</v>
      </c>
      <c r="L15" s="18">
        <v>250</v>
      </c>
      <c r="M15" s="30">
        <f>+K15/I15</f>
        <v>0.87108013937282225</v>
      </c>
      <c r="N15" s="30">
        <f>+L15/D15</f>
        <v>0.8038585209003215</v>
      </c>
      <c r="O15" s="161">
        <v>299</v>
      </c>
      <c r="P15" s="27">
        <v>299</v>
      </c>
      <c r="Q15" s="54">
        <v>242</v>
      </c>
      <c r="R15" s="66">
        <v>242</v>
      </c>
      <c r="S15" s="281">
        <f>+Q15/O15</f>
        <v>0.80936454849498329</v>
      </c>
      <c r="T15" s="30">
        <f>+R15/P15</f>
        <v>0.80936454849498329</v>
      </c>
      <c r="U15" s="123" t="s">
        <v>115</v>
      </c>
      <c r="V15" s="717">
        <v>311</v>
      </c>
      <c r="W15" s="29">
        <f t="shared" si="4"/>
        <v>311</v>
      </c>
      <c r="X15" s="165">
        <f>+Q15</f>
        <v>242</v>
      </c>
      <c r="Y15" s="165">
        <f>+X15</f>
        <v>242</v>
      </c>
      <c r="Z15" s="281">
        <f t="shared" si="7"/>
        <v>0.77813504823151125</v>
      </c>
      <c r="AA15" s="30">
        <f t="shared" si="7"/>
        <v>0.77813504823151125</v>
      </c>
      <c r="AB15" s="168">
        <f t="shared" ref="AB15:AB19" si="8">+AA15</f>
        <v>0.77813504823151125</v>
      </c>
      <c r="AC15" s="715" t="s">
        <v>375</v>
      </c>
    </row>
    <row r="16" spans="1:29" x14ac:dyDescent="0.25">
      <c r="A16" s="78" t="s">
        <v>16</v>
      </c>
      <c r="B16" s="54" t="s">
        <v>177</v>
      </c>
      <c r="C16" s="57" t="s">
        <v>186</v>
      </c>
      <c r="D16" s="32">
        <v>0.78320000000000001</v>
      </c>
      <c r="E16" s="168">
        <v>0.73309999999999997</v>
      </c>
      <c r="F16" s="51">
        <v>0.75700000000000001</v>
      </c>
      <c r="G16" s="32">
        <v>0.73450000000000004</v>
      </c>
      <c r="H16" s="123">
        <f>+G16/F16</f>
        <v>0.97027741083223251</v>
      </c>
      <c r="I16" s="158">
        <v>0.75719999999999998</v>
      </c>
      <c r="J16" s="40">
        <v>0.75719999999999998</v>
      </c>
      <c r="K16" s="32">
        <v>0.73399999999999999</v>
      </c>
      <c r="L16" s="32">
        <v>0.73399999999999999</v>
      </c>
      <c r="M16" s="437">
        <f>+K16/I16</f>
        <v>0.96936080295826732</v>
      </c>
      <c r="N16" s="442">
        <f>+L16/$K16</f>
        <v>1</v>
      </c>
      <c r="O16" s="51">
        <v>0.7681</v>
      </c>
      <c r="P16" s="31">
        <v>0.7681</v>
      </c>
      <c r="Q16" s="40">
        <v>0.73160000000000003</v>
      </c>
      <c r="R16" s="60">
        <v>0.73160000000000003</v>
      </c>
      <c r="S16" s="30">
        <f>+Q16/O16</f>
        <v>0.95248014581434715</v>
      </c>
      <c r="T16" s="30">
        <f>+R16/$Q16</f>
        <v>1</v>
      </c>
      <c r="U16" s="123" t="s">
        <v>115</v>
      </c>
      <c r="V16" s="716">
        <v>0.78320000000000001</v>
      </c>
      <c r="W16" s="32">
        <f t="shared" si="4"/>
        <v>0.78320000000000001</v>
      </c>
      <c r="X16" s="168">
        <f>+R16</f>
        <v>0.73160000000000003</v>
      </c>
      <c r="Y16" s="168">
        <f>+X16</f>
        <v>0.73160000000000003</v>
      </c>
      <c r="Z16" s="281">
        <f t="shared" si="7"/>
        <v>0.93411644535240046</v>
      </c>
      <c r="AA16" s="30">
        <f t="shared" si="7"/>
        <v>0.93411644535240046</v>
      </c>
      <c r="AB16" s="168">
        <f t="shared" si="8"/>
        <v>0.93411644535240046</v>
      </c>
      <c r="AC16" s="715" t="s">
        <v>375</v>
      </c>
    </row>
    <row r="17" spans="1:29" ht="30" x14ac:dyDescent="0.25">
      <c r="A17" s="4" t="s">
        <v>17</v>
      </c>
      <c r="B17" s="54" t="s">
        <v>177</v>
      </c>
      <c r="C17" s="57" t="s">
        <v>193</v>
      </c>
      <c r="D17" s="29">
        <v>366740</v>
      </c>
      <c r="E17" s="200">
        <v>362740</v>
      </c>
      <c r="F17" s="702">
        <v>363740</v>
      </c>
      <c r="G17" s="19">
        <v>336068</v>
      </c>
      <c r="H17" s="123">
        <f>+G17/F17</f>
        <v>0.92392368175070105</v>
      </c>
      <c r="I17" s="161">
        <v>364740</v>
      </c>
      <c r="J17" s="55">
        <v>364740</v>
      </c>
      <c r="K17" s="19">
        <v>335655</v>
      </c>
      <c r="L17" s="19">
        <v>335655</v>
      </c>
      <c r="M17" s="30">
        <f>+K17/I17</f>
        <v>0.92025826616219775</v>
      </c>
      <c r="N17" s="30">
        <f>+L17/J17</f>
        <v>0.92025826616219775</v>
      </c>
      <c r="O17" s="161">
        <v>365740</v>
      </c>
      <c r="P17" s="27">
        <v>365740</v>
      </c>
      <c r="Q17" s="66">
        <v>327111</v>
      </c>
      <c r="R17" s="66">
        <v>327111</v>
      </c>
      <c r="S17" s="281">
        <f>+(Q17-0)/(O17-0)</f>
        <v>0.89438125444304695</v>
      </c>
      <c r="T17" s="30">
        <f>+R17/P17</f>
        <v>0.89438125444304695</v>
      </c>
      <c r="U17" s="123" t="s">
        <v>115</v>
      </c>
      <c r="V17" s="717">
        <v>366740</v>
      </c>
      <c r="W17" s="29">
        <f t="shared" si="4"/>
        <v>366740</v>
      </c>
      <c r="X17" s="165">
        <v>327111</v>
      </c>
      <c r="Y17" s="165">
        <v>327111</v>
      </c>
      <c r="Z17" s="281">
        <f t="shared" si="7"/>
        <v>0.89194252058679169</v>
      </c>
      <c r="AA17" s="30">
        <f t="shared" si="7"/>
        <v>0.89194252058679169</v>
      </c>
      <c r="AB17" s="168">
        <f t="shared" si="8"/>
        <v>0.89194252058679169</v>
      </c>
      <c r="AC17" s="715" t="s">
        <v>375</v>
      </c>
    </row>
    <row r="18" spans="1:29" ht="30" x14ac:dyDescent="0.25">
      <c r="A18" s="4" t="s">
        <v>18</v>
      </c>
      <c r="B18" s="54" t="s">
        <v>177</v>
      </c>
      <c r="C18" s="57" t="s">
        <v>194</v>
      </c>
      <c r="D18" s="29">
        <v>5915</v>
      </c>
      <c r="E18" s="200">
        <v>5515</v>
      </c>
      <c r="F18" s="702">
        <v>5615</v>
      </c>
      <c r="G18" s="16">
        <v>5661</v>
      </c>
      <c r="H18" s="249">
        <f>+G18/F18</f>
        <v>1.0081923419412289</v>
      </c>
      <c r="I18" s="161">
        <v>5715</v>
      </c>
      <c r="J18" s="55">
        <v>5715</v>
      </c>
      <c r="K18" s="19">
        <v>5702</v>
      </c>
      <c r="L18" s="19">
        <v>5702</v>
      </c>
      <c r="M18" s="30">
        <f>+K18/I18</f>
        <v>0.99772528433945762</v>
      </c>
      <c r="N18" s="30">
        <f>+L18/D18</f>
        <v>0.96398985629754863</v>
      </c>
      <c r="O18" s="161">
        <v>5815</v>
      </c>
      <c r="P18" s="27">
        <v>5815</v>
      </c>
      <c r="Q18" s="66">
        <v>5654</v>
      </c>
      <c r="R18" s="66">
        <v>5654</v>
      </c>
      <c r="S18" s="281">
        <f>+Q18/O18</f>
        <v>0.97231298366294072</v>
      </c>
      <c r="T18" s="30">
        <f>+R18/P18</f>
        <v>0.97231298366294072</v>
      </c>
      <c r="U18" s="123" t="s">
        <v>115</v>
      </c>
      <c r="V18" s="717">
        <v>5915</v>
      </c>
      <c r="W18" s="29">
        <f t="shared" si="4"/>
        <v>5915</v>
      </c>
      <c r="X18" s="165">
        <f>+Q18</f>
        <v>5654</v>
      </c>
      <c r="Y18" s="165">
        <f>+X18</f>
        <v>5654</v>
      </c>
      <c r="Z18" s="281">
        <f t="shared" si="7"/>
        <v>0.9558748943364328</v>
      </c>
      <c r="AA18" s="30">
        <f t="shared" si="7"/>
        <v>0.9558748943364328</v>
      </c>
      <c r="AB18" s="168">
        <f t="shared" si="8"/>
        <v>0.9558748943364328</v>
      </c>
      <c r="AC18" s="715" t="s">
        <v>375</v>
      </c>
    </row>
    <row r="19" spans="1:29" ht="30" x14ac:dyDescent="0.25">
      <c r="A19" s="4" t="s">
        <v>19</v>
      </c>
      <c r="B19" s="54" t="s">
        <v>177</v>
      </c>
      <c r="C19" s="57" t="s">
        <v>186</v>
      </c>
      <c r="D19" s="13">
        <v>0.91039999999999999</v>
      </c>
      <c r="E19" s="168">
        <v>0.83819999999999995</v>
      </c>
      <c r="F19" s="51">
        <v>0.86709999999999998</v>
      </c>
      <c r="G19" s="13">
        <v>0.83379999999999999</v>
      </c>
      <c r="H19" s="123">
        <f>+(G19-E19)/(F19-E19)</f>
        <v>-0.15224913494809528</v>
      </c>
      <c r="I19" s="158">
        <v>0.88149999999999995</v>
      </c>
      <c r="J19" s="40">
        <v>0.88149999999999995</v>
      </c>
      <c r="K19" s="32">
        <v>0.84209999999999996</v>
      </c>
      <c r="L19" s="13">
        <v>0.84209999999999996</v>
      </c>
      <c r="M19" s="30">
        <f t="shared" ref="M19:M23" si="9">+(K19-E19)/(I19-E19)</f>
        <v>9.0069284064665453E-2</v>
      </c>
      <c r="N19" s="30">
        <f t="shared" ref="N19" si="10">+(L19-E19)/(D19-E19)</f>
        <v>5.401662049861513E-2</v>
      </c>
      <c r="O19" s="158">
        <v>0.86599999999999999</v>
      </c>
      <c r="P19" s="31">
        <v>0.86599999999999999</v>
      </c>
      <c r="Q19" s="40">
        <v>0.82850000000000001</v>
      </c>
      <c r="R19" s="60">
        <v>0.82850000000000001</v>
      </c>
      <c r="S19" s="281">
        <f>+(Q19-E19)/(O19-E19)</f>
        <v>-0.34892086330934946</v>
      </c>
      <c r="T19" s="281">
        <f>+(R19-E19)/(D19-E19)</f>
        <v>-0.13434903047091309</v>
      </c>
      <c r="U19" s="123" t="s">
        <v>115</v>
      </c>
      <c r="V19" s="716">
        <v>0.91039999999999999</v>
      </c>
      <c r="W19" s="13">
        <f t="shared" si="4"/>
        <v>0.91039999999999999</v>
      </c>
      <c r="X19" s="167">
        <f>+Q19</f>
        <v>0.82850000000000001</v>
      </c>
      <c r="Y19" s="167">
        <f>+X19</f>
        <v>0.82850000000000001</v>
      </c>
      <c r="Z19" s="281">
        <f>+(X19-E19)/(V19-E19)</f>
        <v>-0.13434903047091309</v>
      </c>
      <c r="AA19" s="281">
        <f>+(Y19-E19)/(W19-E19)</f>
        <v>-0.13434903047091309</v>
      </c>
      <c r="AB19" s="168">
        <f t="shared" si="8"/>
        <v>-0.13434903047091309</v>
      </c>
      <c r="AC19" s="715" t="s">
        <v>375</v>
      </c>
    </row>
    <row r="20" spans="1:29" ht="30" x14ac:dyDescent="0.25">
      <c r="A20" s="4" t="s">
        <v>20</v>
      </c>
      <c r="B20" s="54" t="s">
        <v>177</v>
      </c>
      <c r="C20" s="57" t="s">
        <v>194</v>
      </c>
      <c r="D20" s="29">
        <v>100</v>
      </c>
      <c r="E20" s="200">
        <v>0</v>
      </c>
      <c r="F20" s="702">
        <v>40</v>
      </c>
      <c r="G20" s="17">
        <v>97</v>
      </c>
      <c r="H20" s="123">
        <f t="shared" ref="H20" si="11">+(G20-E20)/(F20-E20)</f>
        <v>2.4249999999999998</v>
      </c>
      <c r="I20" s="161">
        <v>20</v>
      </c>
      <c r="J20" s="701">
        <v>60</v>
      </c>
      <c r="K20" s="19">
        <f>+L20-G20</f>
        <v>26</v>
      </c>
      <c r="L20" s="18">
        <v>123</v>
      </c>
      <c r="M20" s="30">
        <f t="shared" si="9"/>
        <v>1.3</v>
      </c>
      <c r="N20" s="30">
        <f>+(L20-E20)/(D20-E20)</f>
        <v>1.23</v>
      </c>
      <c r="O20" s="161">
        <v>20</v>
      </c>
      <c r="P20" s="27">
        <v>80</v>
      </c>
      <c r="Q20" s="375">
        <f>+R20-L20</f>
        <v>21</v>
      </c>
      <c r="R20" s="66">
        <v>144</v>
      </c>
      <c r="S20" s="281">
        <f t="shared" ref="S20:S23" si="12">+(Q20-E20)/(O20-E20)</f>
        <v>1.05</v>
      </c>
      <c r="T20" s="281">
        <f>+(R20-E20)/(D20-E20)</f>
        <v>1.44</v>
      </c>
      <c r="U20" s="123" t="s">
        <v>115</v>
      </c>
      <c r="V20" s="718">
        <v>100</v>
      </c>
      <c r="W20" s="29">
        <f t="shared" si="4"/>
        <v>100</v>
      </c>
      <c r="X20" s="165">
        <v>0</v>
      </c>
      <c r="Y20" s="165">
        <f>+R20+X20</f>
        <v>144</v>
      </c>
      <c r="Z20" s="281">
        <f>+(X20-E20)/(V20-E20)</f>
        <v>0</v>
      </c>
      <c r="AA20" s="281">
        <f>+(Y20-E20)/(W20-E20)</f>
        <v>1.44</v>
      </c>
      <c r="AB20" s="168">
        <f>+AA20</f>
        <v>1.44</v>
      </c>
      <c r="AC20" s="715" t="s">
        <v>375</v>
      </c>
    </row>
    <row r="21" spans="1:29" ht="30" x14ac:dyDescent="0.25">
      <c r="A21" s="4" t="s">
        <v>21</v>
      </c>
      <c r="B21" s="54" t="s">
        <v>177</v>
      </c>
      <c r="C21" s="57" t="s">
        <v>186</v>
      </c>
      <c r="D21" s="13">
        <v>0.189</v>
      </c>
      <c r="E21" s="168">
        <v>0.16930000000000001</v>
      </c>
      <c r="F21" s="51">
        <v>0.17399999999999999</v>
      </c>
      <c r="G21" s="13">
        <v>0.1981</v>
      </c>
      <c r="H21" s="123">
        <f>+(G21-E21)/(F21-E21)</f>
        <v>6.1276595744681073</v>
      </c>
      <c r="I21" s="158">
        <v>0.17899999999999999</v>
      </c>
      <c r="J21" s="40">
        <v>0.17899999999999999</v>
      </c>
      <c r="K21" s="32">
        <v>0.30599999999999999</v>
      </c>
      <c r="L21" s="13">
        <v>0.30599999999999999</v>
      </c>
      <c r="M21" s="30">
        <f>+(K21-E21)/(I21-E21)</f>
        <v>14.092783505154658</v>
      </c>
      <c r="N21" s="30">
        <f t="shared" ref="N21" si="13">+(L21-E21)/(D21-E21)</f>
        <v>6.9390862944162448</v>
      </c>
      <c r="O21" s="158">
        <v>0.184</v>
      </c>
      <c r="P21" s="31">
        <v>0.184</v>
      </c>
      <c r="Q21" s="40">
        <f>+K21</f>
        <v>0.30599999999999999</v>
      </c>
      <c r="R21" s="60">
        <f>+L21</f>
        <v>0.30599999999999999</v>
      </c>
      <c r="S21" s="281">
        <f t="shared" si="12"/>
        <v>9.2993197278911612</v>
      </c>
      <c r="T21" s="281">
        <f>+(R21-E21)/(D21-E21)</f>
        <v>6.9390862944162448</v>
      </c>
      <c r="U21" s="123" t="s">
        <v>371</v>
      </c>
      <c r="V21" s="716">
        <v>0.189</v>
      </c>
      <c r="W21" s="13">
        <f t="shared" si="4"/>
        <v>0.189</v>
      </c>
      <c r="X21" s="167">
        <f>+Q21</f>
        <v>0.30599999999999999</v>
      </c>
      <c r="Y21" s="167">
        <f>+X21</f>
        <v>0.30599999999999999</v>
      </c>
      <c r="Z21" s="281">
        <f>+(X21-E21)/(V21-E21)</f>
        <v>6.9390862944162448</v>
      </c>
      <c r="AA21" s="281">
        <f>+(Y21-E21)/(W21-E21)</f>
        <v>6.9390862944162448</v>
      </c>
      <c r="AB21" s="168">
        <f>+AA21</f>
        <v>6.9390862944162448</v>
      </c>
      <c r="AC21" s="715" t="s">
        <v>376</v>
      </c>
    </row>
    <row r="22" spans="1:29" ht="30" x14ac:dyDescent="0.25">
      <c r="A22" s="4" t="s">
        <v>22</v>
      </c>
      <c r="B22" s="54" t="s">
        <v>177</v>
      </c>
      <c r="C22" s="57" t="s">
        <v>194</v>
      </c>
      <c r="D22" s="29">
        <v>812</v>
      </c>
      <c r="E22" s="200">
        <v>784</v>
      </c>
      <c r="F22" s="702">
        <v>796</v>
      </c>
      <c r="G22" s="11">
        <v>782</v>
      </c>
      <c r="H22" s="249">
        <f>+G22/F22</f>
        <v>0.98241206030150752</v>
      </c>
      <c r="I22" s="161">
        <v>801</v>
      </c>
      <c r="J22" s="701">
        <v>801</v>
      </c>
      <c r="K22" s="19">
        <v>801</v>
      </c>
      <c r="L22" s="11">
        <v>801</v>
      </c>
      <c r="M22" s="30">
        <f>+K22/I22</f>
        <v>1</v>
      </c>
      <c r="N22" s="30">
        <f>+L22/D22</f>
        <v>0.98645320197044339</v>
      </c>
      <c r="O22" s="161">
        <v>807</v>
      </c>
      <c r="P22" s="27">
        <v>807</v>
      </c>
      <c r="Q22" s="54">
        <v>800</v>
      </c>
      <c r="R22" s="66">
        <v>800</v>
      </c>
      <c r="S22" s="281">
        <f>+Q22/O22</f>
        <v>0.99132589838909546</v>
      </c>
      <c r="T22" s="30">
        <f>+R22/P22</f>
        <v>0.99132589838909546</v>
      </c>
      <c r="U22" s="123" t="s">
        <v>115</v>
      </c>
      <c r="V22" s="717">
        <v>812</v>
      </c>
      <c r="W22" s="29">
        <f t="shared" si="4"/>
        <v>812</v>
      </c>
      <c r="X22" s="165">
        <f>+Q22</f>
        <v>800</v>
      </c>
      <c r="Y22" s="165">
        <f>+X22</f>
        <v>800</v>
      </c>
      <c r="Z22" s="281">
        <f>+X22/V22</f>
        <v>0.98522167487684731</v>
      </c>
      <c r="AA22" s="30">
        <f>+Y22/W22</f>
        <v>0.98522167487684731</v>
      </c>
      <c r="AB22" s="168">
        <f t="shared" ref="AB22:AB23" si="14">+AA22</f>
        <v>0.98522167487684731</v>
      </c>
      <c r="AC22" s="715" t="s">
        <v>375</v>
      </c>
    </row>
    <row r="23" spans="1:29" x14ac:dyDescent="0.25">
      <c r="A23" s="4" t="s">
        <v>23</v>
      </c>
      <c r="B23" s="54" t="s">
        <v>177</v>
      </c>
      <c r="C23" s="57" t="s">
        <v>186</v>
      </c>
      <c r="D23" s="13">
        <v>0.77090000000000003</v>
      </c>
      <c r="E23" s="168">
        <v>0.72760000000000002</v>
      </c>
      <c r="F23" s="51">
        <v>0.74319999999999997</v>
      </c>
      <c r="G23" s="13">
        <v>0.73050000000000004</v>
      </c>
      <c r="H23" s="123">
        <f>+(G23-E23)/(F23-E23)</f>
        <v>0.1858974358974374</v>
      </c>
      <c r="I23" s="158">
        <v>0.74990000000000001</v>
      </c>
      <c r="J23" s="40">
        <v>0.74990000000000001</v>
      </c>
      <c r="K23" s="32">
        <v>0.76849999999999996</v>
      </c>
      <c r="L23" s="13">
        <v>0.76849999999999996</v>
      </c>
      <c r="M23" s="30">
        <f t="shared" si="9"/>
        <v>1.8340807174887874</v>
      </c>
      <c r="N23" s="30">
        <f>+(L23-E23)/(D23-E23)</f>
        <v>0.94457274826789683</v>
      </c>
      <c r="O23" s="158">
        <v>0.76139999999999997</v>
      </c>
      <c r="P23" s="31">
        <v>0.76139999999999997</v>
      </c>
      <c r="Q23" s="40">
        <v>0.7772</v>
      </c>
      <c r="R23" s="60">
        <v>0.7772</v>
      </c>
      <c r="S23" s="281">
        <f t="shared" si="12"/>
        <v>1.4674556213017771</v>
      </c>
      <c r="T23" s="281">
        <f>+(R23-E23)/(D23-E23)</f>
        <v>1.1454965357967661</v>
      </c>
      <c r="U23" s="123" t="s">
        <v>115</v>
      </c>
      <c r="V23" s="716">
        <v>0.77090000000000003</v>
      </c>
      <c r="W23" s="13">
        <f t="shared" si="4"/>
        <v>0.77090000000000003</v>
      </c>
      <c r="X23" s="167">
        <f>+Q23</f>
        <v>0.7772</v>
      </c>
      <c r="Y23" s="167">
        <f>+X23</f>
        <v>0.7772</v>
      </c>
      <c r="Z23" s="281">
        <f>+(X23-E23)/(V23-E23)</f>
        <v>1.1454965357967661</v>
      </c>
      <c r="AA23" s="281">
        <f>+(Y23-E23)/(W23-E23)</f>
        <v>1.1454965357967661</v>
      </c>
      <c r="AB23" s="168">
        <f t="shared" si="14"/>
        <v>1.1454965357967661</v>
      </c>
      <c r="AC23" s="715" t="s">
        <v>375</v>
      </c>
    </row>
    <row r="24" spans="1:29" ht="30" x14ac:dyDescent="0.25">
      <c r="A24" s="4" t="s">
        <v>24</v>
      </c>
      <c r="B24" s="54" t="s">
        <v>177</v>
      </c>
      <c r="C24" s="57" t="s">
        <v>193</v>
      </c>
      <c r="D24" s="29">
        <v>500798</v>
      </c>
      <c r="E24" s="200">
        <v>432372</v>
      </c>
      <c r="F24" s="702">
        <f>494798</f>
        <v>494798</v>
      </c>
      <c r="G24" s="19">
        <f>397378</f>
        <v>397378</v>
      </c>
      <c r="H24" s="249">
        <f>+G24/F24</f>
        <v>0.80311157280344703</v>
      </c>
      <c r="I24" s="161">
        <v>496798</v>
      </c>
      <c r="J24" s="55">
        <v>496798</v>
      </c>
      <c r="K24" s="19">
        <v>419858</v>
      </c>
      <c r="L24" s="19">
        <v>419858</v>
      </c>
      <c r="M24" s="30">
        <f>+K24/I24</f>
        <v>0.84512820099919883</v>
      </c>
      <c r="N24" s="30">
        <f>+L24/J24</f>
        <v>0.84512820099919883</v>
      </c>
      <c r="O24" s="161">
        <v>498798</v>
      </c>
      <c r="P24" s="27">
        <v>498798</v>
      </c>
      <c r="Q24" s="66">
        <v>404271</v>
      </c>
      <c r="R24" s="66">
        <v>404271</v>
      </c>
      <c r="S24" s="281">
        <f>+Q24/O24</f>
        <v>0.81049041896719709</v>
      </c>
      <c r="T24" s="30">
        <f>+R24/P24</f>
        <v>0.81049041896719709</v>
      </c>
      <c r="U24" s="123" t="s">
        <v>115</v>
      </c>
      <c r="V24" s="717">
        <v>582001</v>
      </c>
      <c r="W24" s="29">
        <f t="shared" si="4"/>
        <v>500798</v>
      </c>
      <c r="X24" s="165">
        <v>0</v>
      </c>
      <c r="Y24" s="165">
        <f>+R24+X24</f>
        <v>404271</v>
      </c>
      <c r="Z24" s="281">
        <f>+X24/V24</f>
        <v>0</v>
      </c>
      <c r="AA24" s="30">
        <f>+Y24/W24</f>
        <v>0.80725362321734506</v>
      </c>
      <c r="AB24" s="168">
        <f>+AA24</f>
        <v>0.80725362321734506</v>
      </c>
      <c r="AC24" s="715" t="s">
        <v>375</v>
      </c>
    </row>
    <row r="25" spans="1:29" ht="30" x14ac:dyDescent="0.25">
      <c r="A25" s="78" t="s">
        <v>25</v>
      </c>
      <c r="B25" s="54" t="s">
        <v>177</v>
      </c>
      <c r="C25" s="57" t="s">
        <v>194</v>
      </c>
      <c r="D25" s="29">
        <v>3869</v>
      </c>
      <c r="E25" s="200">
        <v>5258</v>
      </c>
      <c r="F25" s="702">
        <v>3794</v>
      </c>
      <c r="G25" s="16">
        <v>3832</v>
      </c>
      <c r="H25" s="123">
        <f>+G25/F25</f>
        <v>1.0100158144438587</v>
      </c>
      <c r="I25" s="161">
        <v>3819</v>
      </c>
      <c r="J25" s="55">
        <v>3819</v>
      </c>
      <c r="K25" s="27">
        <v>4042</v>
      </c>
      <c r="L25" s="27">
        <v>4042</v>
      </c>
      <c r="M25" s="437">
        <f>+K25/I25</f>
        <v>1.0583922492799163</v>
      </c>
      <c r="N25" s="442">
        <f>+L25/$K25</f>
        <v>1</v>
      </c>
      <c r="O25" s="56">
        <v>3844</v>
      </c>
      <c r="P25" s="27">
        <v>3844</v>
      </c>
      <c r="Q25" s="66">
        <v>4525</v>
      </c>
      <c r="R25" s="66">
        <v>4525</v>
      </c>
      <c r="S25" s="30">
        <f>+Q25/O25</f>
        <v>1.1771592091571279</v>
      </c>
      <c r="T25" s="30">
        <f>+R25/$Q25</f>
        <v>1</v>
      </c>
      <c r="U25" s="123" t="s">
        <v>115</v>
      </c>
      <c r="V25" s="718">
        <v>3869</v>
      </c>
      <c r="W25" s="29">
        <f t="shared" si="4"/>
        <v>3869</v>
      </c>
      <c r="X25" s="165">
        <f>+R25</f>
        <v>4525</v>
      </c>
      <c r="Y25" s="165">
        <f>+X25</f>
        <v>4525</v>
      </c>
      <c r="Z25" s="281">
        <f>+X25/V25</f>
        <v>1.1695528560351511</v>
      </c>
      <c r="AA25" s="30">
        <f>+Y25/W25</f>
        <v>1.1695528560351511</v>
      </c>
      <c r="AB25" s="168">
        <f>+AA25</f>
        <v>1.1695528560351511</v>
      </c>
      <c r="AC25" s="715" t="s">
        <v>375</v>
      </c>
    </row>
    <row r="26" spans="1:29" x14ac:dyDescent="0.25">
      <c r="A26" s="78" t="s">
        <v>26</v>
      </c>
      <c r="B26" s="54" t="s">
        <v>177</v>
      </c>
      <c r="C26" s="57" t="s">
        <v>195</v>
      </c>
      <c r="D26" s="27">
        <v>553408</v>
      </c>
      <c r="E26" s="200">
        <v>690512</v>
      </c>
      <c r="F26" s="702">
        <v>669101</v>
      </c>
      <c r="G26" s="19">
        <v>670974</v>
      </c>
      <c r="H26" s="123">
        <f>(E26-G26)/(E26-F26)</f>
        <v>0.91252160104619118</v>
      </c>
      <c r="I26" s="161">
        <v>639206</v>
      </c>
      <c r="J26" s="55">
        <v>639206</v>
      </c>
      <c r="K26" s="27">
        <v>667431</v>
      </c>
      <c r="L26" s="19">
        <v>667431</v>
      </c>
      <c r="M26" s="437">
        <f>+(E26-K26)/(E26-I26)</f>
        <v>0.44986941098507</v>
      </c>
      <c r="N26" s="442">
        <f>+(E26-L26)/(E26-D26)</f>
        <v>0.16834665655268993</v>
      </c>
      <c r="O26" s="56">
        <v>603443</v>
      </c>
      <c r="P26" s="27">
        <v>603443</v>
      </c>
      <c r="Q26" s="581">
        <v>660327</v>
      </c>
      <c r="R26" s="66">
        <f>+Q26</f>
        <v>660327</v>
      </c>
      <c r="S26" s="30">
        <f>+(E26-Q26)/(E26-O26)</f>
        <v>0.34667907062215025</v>
      </c>
      <c r="T26" s="30">
        <f>(E26-R26)/(E26-P26)</f>
        <v>0.34667907062215025</v>
      </c>
      <c r="U26" s="123" t="s">
        <v>115</v>
      </c>
      <c r="V26" s="717">
        <v>553408</v>
      </c>
      <c r="W26" s="27">
        <f t="shared" si="4"/>
        <v>553408</v>
      </c>
      <c r="X26" s="162">
        <f>+Q26</f>
        <v>660327</v>
      </c>
      <c r="Y26" s="162">
        <f>+X26</f>
        <v>660327</v>
      </c>
      <c r="Z26" s="30">
        <f>(E26-X26)/(E26-V26)</f>
        <v>0.22016133737892402</v>
      </c>
      <c r="AA26" s="30">
        <f>+(E26-Y26)/(E26-W26)</f>
        <v>0.22016133737892402</v>
      </c>
      <c r="AB26" s="168">
        <f t="shared" ref="AB26" si="15">+AA26</f>
        <v>0.22016133737892402</v>
      </c>
      <c r="AC26" s="715" t="s">
        <v>375</v>
      </c>
    </row>
    <row r="27" spans="1:29" ht="60" x14ac:dyDescent="0.25">
      <c r="A27" s="4" t="s">
        <v>27</v>
      </c>
      <c r="B27" s="54" t="s">
        <v>178</v>
      </c>
      <c r="C27" s="57" t="s">
        <v>196</v>
      </c>
      <c r="D27" s="29">
        <v>30693</v>
      </c>
      <c r="E27" s="200">
        <v>0</v>
      </c>
      <c r="F27" s="702">
        <v>1562</v>
      </c>
      <c r="G27" s="29">
        <v>2772</v>
      </c>
      <c r="H27" s="123">
        <f>+(G27-E27)/(F27-E27)</f>
        <v>1.7746478873239437</v>
      </c>
      <c r="I27" s="161">
        <v>2722</v>
      </c>
      <c r="J27" s="55">
        <f>+F27+I27</f>
        <v>4284</v>
      </c>
      <c r="K27" s="27">
        <v>2508</v>
      </c>
      <c r="L27" s="434">
        <v>5280</v>
      </c>
      <c r="M27" s="30">
        <f>+(K27-E27)/(I27-E27)</f>
        <v>0.92138133725202054</v>
      </c>
      <c r="N27" s="30">
        <f>+(L27-E27)/(D27-E27)</f>
        <v>0.17202619489785945</v>
      </c>
      <c r="O27" s="161">
        <f>+P27-K27</f>
        <v>7790</v>
      </c>
      <c r="P27" s="27">
        <v>10298</v>
      </c>
      <c r="Q27" s="62">
        <v>2817</v>
      </c>
      <c r="R27" s="66">
        <v>8097</v>
      </c>
      <c r="S27" s="281">
        <f>+(Q27-E27)/(O27-E27)</f>
        <v>0.36161745827984598</v>
      </c>
      <c r="T27" s="30">
        <f>+R27/$Q27</f>
        <v>2.8743343982960599</v>
      </c>
      <c r="U27" s="123" t="s">
        <v>115</v>
      </c>
      <c r="V27" s="717">
        <f>+W27-P27</f>
        <v>20395</v>
      </c>
      <c r="W27" s="29">
        <f t="shared" si="4"/>
        <v>30693</v>
      </c>
      <c r="X27" s="165">
        <v>17781</v>
      </c>
      <c r="Y27" s="165">
        <v>23639</v>
      </c>
      <c r="Z27" s="30">
        <f t="shared" ref="Z27:AA31" si="16">+X27/V27</f>
        <v>0.87183133120862955</v>
      </c>
      <c r="AA27" s="30">
        <f>+Y27/W27</f>
        <v>0.77017561007395818</v>
      </c>
      <c r="AB27" s="168">
        <f>+AA27</f>
        <v>0.77017561007395818</v>
      </c>
      <c r="AC27" s="719" t="s">
        <v>390</v>
      </c>
    </row>
    <row r="28" spans="1:29" ht="30" x14ac:dyDescent="0.25">
      <c r="A28" s="4" t="s">
        <v>28</v>
      </c>
      <c r="B28" s="54" t="s">
        <v>177</v>
      </c>
      <c r="C28" s="57" t="s">
        <v>186</v>
      </c>
      <c r="D28" s="13">
        <v>0.57789999999999997</v>
      </c>
      <c r="E28" s="168">
        <v>0.61980000000000002</v>
      </c>
      <c r="F28" s="51">
        <v>0.5766</v>
      </c>
      <c r="G28" s="13">
        <v>0.58809999999999996</v>
      </c>
      <c r="H28" s="123">
        <f>+G28/F28</f>
        <v>1.0199445022545959</v>
      </c>
      <c r="I28" s="158">
        <v>0.5766</v>
      </c>
      <c r="J28" s="40">
        <v>0.5766</v>
      </c>
      <c r="K28" s="32">
        <v>0.5706</v>
      </c>
      <c r="L28" s="13">
        <v>0.5706</v>
      </c>
      <c r="M28" s="437">
        <f>+K28/I28</f>
        <v>0.98959417273673256</v>
      </c>
      <c r="N28" s="442">
        <f>+L28/$K28</f>
        <v>1</v>
      </c>
      <c r="O28" s="51">
        <v>0.57720000000000005</v>
      </c>
      <c r="P28" s="31">
        <v>0.57720000000000005</v>
      </c>
      <c r="Q28" s="40">
        <v>0.55569999999999997</v>
      </c>
      <c r="R28" s="60">
        <v>0.55569999999999997</v>
      </c>
      <c r="S28" s="30">
        <f>+Q28/O28</f>
        <v>0.96275121275121267</v>
      </c>
      <c r="T28" s="30">
        <f>+R28/$Q28</f>
        <v>1</v>
      </c>
      <c r="U28" s="123" t="s">
        <v>115</v>
      </c>
      <c r="V28" s="716">
        <v>0.57789999999999997</v>
      </c>
      <c r="W28" s="13">
        <v>0.57789999999999997</v>
      </c>
      <c r="X28" s="168">
        <f>+R28</f>
        <v>0.55569999999999997</v>
      </c>
      <c r="Y28" s="168">
        <f>+X28</f>
        <v>0.55569999999999997</v>
      </c>
      <c r="Z28" s="281">
        <f t="shared" si="16"/>
        <v>0.96158504931649069</v>
      </c>
      <c r="AA28" s="30">
        <f t="shared" si="16"/>
        <v>0.96158504931649069</v>
      </c>
      <c r="AB28" s="168">
        <f t="shared" ref="AB28:AB60" si="17">+AA28</f>
        <v>0.96158504931649069</v>
      </c>
      <c r="AC28" s="715" t="s">
        <v>375</v>
      </c>
    </row>
    <row r="29" spans="1:29" ht="30" x14ac:dyDescent="0.25">
      <c r="A29" s="4" t="s">
        <v>29</v>
      </c>
      <c r="B29" s="54" t="s">
        <v>180</v>
      </c>
      <c r="C29" s="57" t="s">
        <v>183</v>
      </c>
      <c r="D29" s="9">
        <v>0.45</v>
      </c>
      <c r="E29" s="168">
        <v>0.33300000000000002</v>
      </c>
      <c r="F29" s="51">
        <v>0.34899999999999998</v>
      </c>
      <c r="G29" s="12">
        <v>0.34</v>
      </c>
      <c r="H29" s="123">
        <f>+G29/F29</f>
        <v>0.97421203438395432</v>
      </c>
      <c r="I29" s="158">
        <v>0.36899999999999999</v>
      </c>
      <c r="J29" s="40">
        <v>0.36899999999999999</v>
      </c>
      <c r="K29" s="15">
        <v>0.41399999999999998</v>
      </c>
      <c r="L29" s="15">
        <v>0.41399999999999998</v>
      </c>
      <c r="M29" s="30">
        <f>+K29/I29</f>
        <v>1.121951219512195</v>
      </c>
      <c r="N29" s="30">
        <f>+L29/J29</f>
        <v>1.121951219512195</v>
      </c>
      <c r="O29" s="181">
        <v>0.42099999999999999</v>
      </c>
      <c r="P29" s="31">
        <v>0.42099999999999999</v>
      </c>
      <c r="Q29" s="44">
        <v>0.45400000000000001</v>
      </c>
      <c r="R29" s="44">
        <v>0.45400000000000001</v>
      </c>
      <c r="S29" s="281">
        <f>+Q29/O29</f>
        <v>1.0783847980997625</v>
      </c>
      <c r="T29" s="30">
        <f>+R29/P29</f>
        <v>1.0783847980997625</v>
      </c>
      <c r="U29" s="123" t="s">
        <v>115</v>
      </c>
      <c r="V29" s="716">
        <v>0.45</v>
      </c>
      <c r="W29" s="10">
        <f t="shared" ref="W29:W36" si="18">+D29</f>
        <v>0.45</v>
      </c>
      <c r="X29" s="171">
        <v>0</v>
      </c>
      <c r="Y29" s="171">
        <v>0.45400000000000001</v>
      </c>
      <c r="Z29" s="281">
        <f t="shared" si="16"/>
        <v>0</v>
      </c>
      <c r="AA29" s="30">
        <f t="shared" si="16"/>
        <v>1.0088888888888889</v>
      </c>
      <c r="AB29" s="168">
        <f t="shared" si="17"/>
        <v>1.0088888888888889</v>
      </c>
      <c r="AC29" s="715" t="s">
        <v>375</v>
      </c>
    </row>
    <row r="30" spans="1:29" ht="45" x14ac:dyDescent="0.25">
      <c r="A30" s="4" t="s">
        <v>30</v>
      </c>
      <c r="B30" s="54" t="s">
        <v>177</v>
      </c>
      <c r="C30" s="57" t="s">
        <v>183</v>
      </c>
      <c r="D30" s="9">
        <v>0.12</v>
      </c>
      <c r="E30" s="168">
        <v>0</v>
      </c>
      <c r="F30" s="51">
        <v>0.03</v>
      </c>
      <c r="G30" s="13">
        <v>2.9499999999999998E-2</v>
      </c>
      <c r="H30" s="123">
        <f>+G30/F30</f>
        <v>0.98333333333333328</v>
      </c>
      <c r="I30" s="158">
        <v>0.06</v>
      </c>
      <c r="J30" s="40">
        <v>0.06</v>
      </c>
      <c r="K30" s="13">
        <v>6.25E-2</v>
      </c>
      <c r="L30" s="291">
        <v>6.25E-2</v>
      </c>
      <c r="M30" s="30">
        <f>+K30/I30</f>
        <v>1.0416666666666667</v>
      </c>
      <c r="N30" s="30">
        <f>+L30/J30</f>
        <v>1.0416666666666667</v>
      </c>
      <c r="O30" s="181">
        <v>0.09</v>
      </c>
      <c r="P30" s="31">
        <v>0.09</v>
      </c>
      <c r="Q30" s="52">
        <v>0</v>
      </c>
      <c r="R30" s="44">
        <f>+Q30</f>
        <v>0</v>
      </c>
      <c r="S30" s="281">
        <f>+Q30/O30</f>
        <v>0</v>
      </c>
      <c r="T30" s="30">
        <f>+R30/P30</f>
        <v>0</v>
      </c>
      <c r="U30" s="123" t="s">
        <v>115</v>
      </c>
      <c r="V30" s="716">
        <v>0.12</v>
      </c>
      <c r="W30" s="10">
        <f t="shared" si="18"/>
        <v>0.12</v>
      </c>
      <c r="X30" s="168">
        <f>+Q30</f>
        <v>0</v>
      </c>
      <c r="Y30" s="168">
        <f>+X30</f>
        <v>0</v>
      </c>
      <c r="Z30" s="281">
        <f t="shared" si="16"/>
        <v>0</v>
      </c>
      <c r="AA30" s="281">
        <f t="shared" si="16"/>
        <v>0</v>
      </c>
      <c r="AB30" s="168">
        <f t="shared" si="17"/>
        <v>0</v>
      </c>
      <c r="AC30" s="715" t="s">
        <v>375</v>
      </c>
    </row>
    <row r="31" spans="1:29" ht="45" x14ac:dyDescent="0.25">
      <c r="A31" s="4" t="s">
        <v>31</v>
      </c>
      <c r="B31" s="54" t="s">
        <v>177</v>
      </c>
      <c r="C31" s="57" t="s">
        <v>183</v>
      </c>
      <c r="D31" s="9">
        <v>0.08</v>
      </c>
      <c r="E31" s="168">
        <v>2.2599999999999999E-2</v>
      </c>
      <c r="F31" s="51">
        <v>0.03</v>
      </c>
      <c r="G31" s="15">
        <v>3.2000000000000001E-2</v>
      </c>
      <c r="H31" s="123">
        <f>+G31/F31</f>
        <v>1.0666666666666667</v>
      </c>
      <c r="I31" s="158">
        <v>0.04</v>
      </c>
      <c r="J31" s="40">
        <v>0.04</v>
      </c>
      <c r="K31" s="15">
        <v>5.6000000000000001E-2</v>
      </c>
      <c r="L31" s="25">
        <v>5.6000000000000001E-2</v>
      </c>
      <c r="M31" s="30">
        <f>+K31/I31</f>
        <v>1.4</v>
      </c>
      <c r="N31" s="30">
        <f>+L31/J31</f>
        <v>1.4</v>
      </c>
      <c r="O31" s="181">
        <v>0.06</v>
      </c>
      <c r="P31" s="31">
        <v>0.06</v>
      </c>
      <c r="Q31" s="52">
        <v>4.7500000000000001E-2</v>
      </c>
      <c r="R31" s="44">
        <v>4.7500000000000001E-2</v>
      </c>
      <c r="S31" s="281">
        <f>+Q31/O31</f>
        <v>0.79166666666666674</v>
      </c>
      <c r="T31" s="30">
        <f>+R31/P31</f>
        <v>0.79166666666666674</v>
      </c>
      <c r="U31" s="123" t="s">
        <v>115</v>
      </c>
      <c r="V31" s="716">
        <v>0.08</v>
      </c>
      <c r="W31" s="9">
        <f t="shared" si="18"/>
        <v>0.08</v>
      </c>
      <c r="X31" s="171">
        <v>4.7500000000000001E-2</v>
      </c>
      <c r="Y31" s="171">
        <v>4.7500000000000001E-2</v>
      </c>
      <c r="Z31" s="30">
        <f t="shared" si="16"/>
        <v>0.59375</v>
      </c>
      <c r="AA31" s="30">
        <f t="shared" si="16"/>
        <v>0.59375</v>
      </c>
      <c r="AB31" s="168">
        <f t="shared" si="17"/>
        <v>0.59375</v>
      </c>
      <c r="AC31" s="715" t="s">
        <v>375</v>
      </c>
    </row>
    <row r="32" spans="1:29" ht="60" x14ac:dyDescent="0.25">
      <c r="A32" s="4" t="s">
        <v>32</v>
      </c>
      <c r="B32" s="54" t="s">
        <v>178</v>
      </c>
      <c r="C32" s="57" t="s">
        <v>183</v>
      </c>
      <c r="D32" s="12">
        <v>0.2</v>
      </c>
      <c r="E32" s="168">
        <v>0</v>
      </c>
      <c r="F32" s="51">
        <v>0.04</v>
      </c>
      <c r="G32" s="15">
        <v>4.6047929010066026E-2</v>
      </c>
      <c r="H32" s="123">
        <f>+(G32-E32)/(F32-E32)</f>
        <v>1.1511982252516506</v>
      </c>
      <c r="I32" s="158">
        <v>0.09</v>
      </c>
      <c r="J32" s="40">
        <v>0.09</v>
      </c>
      <c r="K32" s="13">
        <v>6.9900000000000004E-2</v>
      </c>
      <c r="L32" s="10">
        <v>6.9900000000000004E-2</v>
      </c>
      <c r="M32" s="30">
        <f>+(K32-E32)/(I32-E32)</f>
        <v>0.77666666666666673</v>
      </c>
      <c r="N32" s="30">
        <f>+(L32-E32)/(D32-E32)</f>
        <v>0.34949999999999998</v>
      </c>
      <c r="O32" s="181">
        <v>0.13</v>
      </c>
      <c r="P32" s="31">
        <v>0.13</v>
      </c>
      <c r="Q32" s="44">
        <v>0.10009999999999999</v>
      </c>
      <c r="R32" s="44">
        <v>0.10009999999999999</v>
      </c>
      <c r="S32" s="281">
        <f>+(Q32-E32)/(O32-E32)</f>
        <v>0.76999999999999991</v>
      </c>
      <c r="T32" s="281">
        <f>+(R32-E32)/(D32-E32)</f>
        <v>0.50049999999999994</v>
      </c>
      <c r="U32" s="123" t="s">
        <v>115</v>
      </c>
      <c r="V32" s="716">
        <v>0.2</v>
      </c>
      <c r="W32" s="12">
        <f t="shared" si="18"/>
        <v>0.2</v>
      </c>
      <c r="X32" s="167">
        <v>0.12559999999999999</v>
      </c>
      <c r="Y32" s="167">
        <v>0.1095</v>
      </c>
      <c r="Z32" s="281">
        <f>+(X32-E32)/(V32-E32)</f>
        <v>0.62799999999999989</v>
      </c>
      <c r="AA32" s="281">
        <f>+(Y32-E32)/(W32-E32)</f>
        <v>0.54749999999999999</v>
      </c>
      <c r="AB32" s="168">
        <f>+AA32</f>
        <v>0.54749999999999999</v>
      </c>
      <c r="AC32" s="715" t="s">
        <v>389</v>
      </c>
    </row>
    <row r="33" spans="1:29" ht="60" x14ac:dyDescent="0.25">
      <c r="A33" s="454" t="s">
        <v>33</v>
      </c>
      <c r="B33" s="54" t="s">
        <v>177</v>
      </c>
      <c r="C33" s="57" t="s">
        <v>183</v>
      </c>
      <c r="D33" s="10">
        <v>0.309</v>
      </c>
      <c r="E33" s="168">
        <v>0.27700000000000002</v>
      </c>
      <c r="F33" s="51">
        <v>0.28499999999999998</v>
      </c>
      <c r="G33" s="13">
        <v>0.26400000000000001</v>
      </c>
      <c r="H33" s="123">
        <f>+G33/F33</f>
        <v>0.92631578947368431</v>
      </c>
      <c r="I33" s="158">
        <v>0.29299999999999998</v>
      </c>
      <c r="J33" s="40">
        <v>0.29299999999999998</v>
      </c>
      <c r="K33" s="13">
        <v>0.35720000000000002</v>
      </c>
      <c r="L33" s="13">
        <v>0.35720000000000002</v>
      </c>
      <c r="M33" s="30">
        <f>+K33/I33</f>
        <v>1.2191126279863482</v>
      </c>
      <c r="N33" s="30">
        <f>+L33/J33</f>
        <v>1.2191126279863482</v>
      </c>
      <c r="O33" s="181">
        <v>0.30099999999999999</v>
      </c>
      <c r="P33" s="31">
        <v>0.30099999999999999</v>
      </c>
      <c r="Q33" s="52">
        <v>0.32129999999999997</v>
      </c>
      <c r="R33" s="52">
        <v>0.32129999999999997</v>
      </c>
      <c r="S33" s="281">
        <f>+Q33/O33</f>
        <v>1.0674418604651161</v>
      </c>
      <c r="T33" s="30">
        <f>+R33/P33</f>
        <v>1.0674418604651161</v>
      </c>
      <c r="U33" s="123" t="s">
        <v>115</v>
      </c>
      <c r="V33" s="716">
        <v>0.309</v>
      </c>
      <c r="W33" s="10">
        <f t="shared" si="18"/>
        <v>0.309</v>
      </c>
      <c r="X33" s="171">
        <v>0.32129999999999997</v>
      </c>
      <c r="Y33" s="171">
        <v>0.32129999999999997</v>
      </c>
      <c r="Z33" s="281">
        <f>+X33/V33</f>
        <v>1.0398058252427185</v>
      </c>
      <c r="AA33" s="30">
        <f>+Y33/W33</f>
        <v>1.0398058252427185</v>
      </c>
      <c r="AB33" s="168">
        <f t="shared" si="17"/>
        <v>1.0398058252427185</v>
      </c>
      <c r="AC33" s="715" t="s">
        <v>375</v>
      </c>
    </row>
    <row r="34" spans="1:29" ht="60" x14ac:dyDescent="0.25">
      <c r="A34" s="454" t="s">
        <v>34</v>
      </c>
      <c r="B34" s="54" t="s">
        <v>177</v>
      </c>
      <c r="C34" s="57" t="s">
        <v>183</v>
      </c>
      <c r="D34" s="10">
        <v>0.29899999999999999</v>
      </c>
      <c r="E34" s="168">
        <v>0.217</v>
      </c>
      <c r="F34" s="51">
        <v>0.23799999999999999</v>
      </c>
      <c r="G34" s="21">
        <v>0.2326</v>
      </c>
      <c r="H34" s="123">
        <f>+G34/F34</f>
        <v>0.97731092436974798</v>
      </c>
      <c r="I34" s="158">
        <v>0.25800000000000001</v>
      </c>
      <c r="J34" s="40">
        <v>0.25800000000000001</v>
      </c>
      <c r="K34" s="13">
        <v>0.29870000000000002</v>
      </c>
      <c r="L34" s="13">
        <v>0.29870000000000002</v>
      </c>
      <c r="M34" s="30">
        <f>+K34/I34</f>
        <v>1.1577519379844963</v>
      </c>
      <c r="N34" s="30">
        <f>+L34/J34</f>
        <v>1.1577519379844963</v>
      </c>
      <c r="O34" s="181">
        <v>0.27900000000000003</v>
      </c>
      <c r="P34" s="31">
        <v>0.27900000000000003</v>
      </c>
      <c r="Q34" s="52">
        <v>0.2084</v>
      </c>
      <c r="R34" s="52">
        <v>0.2084</v>
      </c>
      <c r="S34" s="281">
        <f>+Q34/O34</f>
        <v>0.74695340501792107</v>
      </c>
      <c r="T34" s="30">
        <f>+R34/P34</f>
        <v>0.74695340501792107</v>
      </c>
      <c r="U34" s="123" t="s">
        <v>115</v>
      </c>
      <c r="V34" s="716">
        <v>0.29899999999999999</v>
      </c>
      <c r="W34" s="10">
        <f t="shared" si="18"/>
        <v>0.29899999999999999</v>
      </c>
      <c r="X34" s="171">
        <v>0.2084</v>
      </c>
      <c r="Y34" s="171">
        <v>0.2084</v>
      </c>
      <c r="Z34" s="281">
        <f>+X34/V34</f>
        <v>0.69698996655518397</v>
      </c>
      <c r="AA34" s="30">
        <f>+Y34/W34</f>
        <v>0.69698996655518397</v>
      </c>
      <c r="AB34" s="168">
        <f t="shared" si="17"/>
        <v>0.69698996655518397</v>
      </c>
      <c r="AC34" s="715" t="s">
        <v>375</v>
      </c>
    </row>
    <row r="35" spans="1:29" x14ac:dyDescent="0.25">
      <c r="A35" s="4" t="s">
        <v>35</v>
      </c>
      <c r="B35" s="54" t="s">
        <v>177</v>
      </c>
      <c r="C35" s="57" t="s">
        <v>197</v>
      </c>
      <c r="D35" s="29">
        <v>20</v>
      </c>
      <c r="E35" s="200">
        <v>27</v>
      </c>
      <c r="F35" s="702">
        <v>26</v>
      </c>
      <c r="G35" s="17">
        <v>24</v>
      </c>
      <c r="H35" s="123">
        <f>(E35-G35)/(E35-F35)</f>
        <v>3</v>
      </c>
      <c r="I35" s="160">
        <v>24</v>
      </c>
      <c r="J35" s="701">
        <v>24</v>
      </c>
      <c r="K35" s="28">
        <v>26.11</v>
      </c>
      <c r="L35" s="20">
        <v>26.11</v>
      </c>
      <c r="M35" s="437">
        <f>+(E35-K35)/(E35-I35)</f>
        <v>0.29666666666666686</v>
      </c>
      <c r="N35" s="442">
        <f>+(E35-L35)/(E35-D35)</f>
        <v>0.12714285714285722</v>
      </c>
      <c r="O35" s="56">
        <v>22</v>
      </c>
      <c r="P35" s="27">
        <v>22</v>
      </c>
      <c r="Q35" s="53">
        <v>22.98</v>
      </c>
      <c r="R35" s="53">
        <v>22.98</v>
      </c>
      <c r="S35" s="30">
        <f>+(E35-Q35)/(E35-O35)</f>
        <v>0.80399999999999994</v>
      </c>
      <c r="T35" s="30">
        <f>(E35-R35)/(E35-P35)</f>
        <v>0.80399999999999994</v>
      </c>
      <c r="U35" s="123" t="s">
        <v>115</v>
      </c>
      <c r="V35" s="717">
        <v>20</v>
      </c>
      <c r="W35" s="29">
        <f t="shared" si="18"/>
        <v>20</v>
      </c>
      <c r="X35" s="720">
        <f>+Q35</f>
        <v>22.98</v>
      </c>
      <c r="Y35" s="720">
        <f>+X35</f>
        <v>22.98</v>
      </c>
      <c r="Z35" s="30">
        <f>(E35-X35)/(E35-V35)</f>
        <v>0.57428571428571418</v>
      </c>
      <c r="AA35" s="30">
        <f>+(E35-Y35)/(E35-W35)</f>
        <v>0.57428571428571418</v>
      </c>
      <c r="AB35" s="168">
        <f t="shared" si="17"/>
        <v>0.57428571428571418</v>
      </c>
      <c r="AC35" s="715" t="s">
        <v>375</v>
      </c>
    </row>
    <row r="36" spans="1:29" ht="45" x14ac:dyDescent="0.25">
      <c r="A36" s="4" t="s">
        <v>36</v>
      </c>
      <c r="B36" s="54" t="s">
        <v>177</v>
      </c>
      <c r="C36" s="57" t="s">
        <v>183</v>
      </c>
      <c r="D36" s="37">
        <v>0.75</v>
      </c>
      <c r="E36" s="168">
        <v>0.53100000000000003</v>
      </c>
      <c r="F36" s="703">
        <v>0.58599999999999997</v>
      </c>
      <c r="G36" s="38">
        <v>0.52769999999999995</v>
      </c>
      <c r="H36" s="123">
        <f>+G36/F36</f>
        <v>0.90051194539249146</v>
      </c>
      <c r="I36" s="704">
        <v>0.64100000000000001</v>
      </c>
      <c r="J36" s="40">
        <v>0.64100000000000001</v>
      </c>
      <c r="K36" s="32">
        <v>0.57650000000000001</v>
      </c>
      <c r="L36" s="39">
        <v>0.57650000000000001</v>
      </c>
      <c r="M36" s="30">
        <f>+K36/I36</f>
        <v>0.89937597503900157</v>
      </c>
      <c r="N36" s="30">
        <f>+L36/J36</f>
        <v>0.89937597503900157</v>
      </c>
      <c r="O36" s="158">
        <v>0.69599999999999995</v>
      </c>
      <c r="P36" s="40">
        <v>0.69599999999999995</v>
      </c>
      <c r="Q36" s="40">
        <v>0.57699999999999996</v>
      </c>
      <c r="R36" s="60">
        <v>0.57699999999999996</v>
      </c>
      <c r="S36" s="281">
        <f>+Q36/O36</f>
        <v>0.82902298850574707</v>
      </c>
      <c r="T36" s="30">
        <f>+R36/P36</f>
        <v>0.82902298850574707</v>
      </c>
      <c r="U36" s="123" t="s">
        <v>115</v>
      </c>
      <c r="V36" s="716">
        <v>0.75</v>
      </c>
      <c r="W36" s="37">
        <f t="shared" si="18"/>
        <v>0.75</v>
      </c>
      <c r="X36" s="721">
        <f>+Q36</f>
        <v>0.57699999999999996</v>
      </c>
      <c r="Y36" s="721">
        <f>+X36</f>
        <v>0.57699999999999996</v>
      </c>
      <c r="Z36" s="281">
        <f>+X36/V36</f>
        <v>0.76933333333333331</v>
      </c>
      <c r="AA36" s="281">
        <f>+Y36/W36</f>
        <v>0.76933333333333331</v>
      </c>
      <c r="AB36" s="168">
        <f t="shared" si="17"/>
        <v>0.76933333333333331</v>
      </c>
      <c r="AC36" s="715" t="s">
        <v>375</v>
      </c>
    </row>
    <row r="37" spans="1:29" ht="75" x14ac:dyDescent="0.25">
      <c r="A37" s="4" t="s">
        <v>157</v>
      </c>
      <c r="B37" s="54" t="s">
        <v>177</v>
      </c>
      <c r="C37" s="57" t="s">
        <v>183</v>
      </c>
      <c r="D37" s="10" t="s">
        <v>264</v>
      </c>
      <c r="E37" s="168">
        <v>0.29399999999999998</v>
      </c>
      <c r="F37" s="742" t="s">
        <v>262</v>
      </c>
      <c r="G37" s="13">
        <v>0.317</v>
      </c>
      <c r="H37" s="123">
        <f>+(31.7%-29.4%)/(31.2%-29.4%)</f>
        <v>1.2777777777777777</v>
      </c>
      <c r="I37" s="158" t="s">
        <v>268</v>
      </c>
      <c r="J37" s="44" t="s">
        <v>421</v>
      </c>
      <c r="K37" s="15">
        <v>0.40799999999999997</v>
      </c>
      <c r="L37" s="22">
        <v>0.40799999999999997</v>
      </c>
      <c r="M37" s="30">
        <f>+(K37-E37)/(33%-E37)</f>
        <v>3.1666666666666634</v>
      </c>
      <c r="N37" s="30">
        <f>+(K37-E37)/(38%-E37)</f>
        <v>1.3255813953488367</v>
      </c>
      <c r="O37" s="158" t="s">
        <v>267</v>
      </c>
      <c r="P37" s="28" t="s">
        <v>269</v>
      </c>
      <c r="Q37" s="44" t="s">
        <v>414</v>
      </c>
      <c r="R37" s="44" t="s">
        <v>414</v>
      </c>
      <c r="S37" s="281">
        <f>+(43.48%-E37)/(36.6%-E37)</f>
        <v>1.955555555555555</v>
      </c>
      <c r="T37" s="281">
        <f>+(43.48%-E37)/(38%-E37)</f>
        <v>1.6372093023255807</v>
      </c>
      <c r="U37" s="123" t="s">
        <v>115</v>
      </c>
      <c r="V37" s="722" t="s">
        <v>265</v>
      </c>
      <c r="W37" s="10" t="s">
        <v>266</v>
      </c>
      <c r="X37" s="171">
        <v>0.43480000000000002</v>
      </c>
      <c r="Y37" s="171">
        <f>+X37</f>
        <v>0.43480000000000002</v>
      </c>
      <c r="Z37" s="281">
        <f>+(X37-E37)/(38%-E37)</f>
        <v>1.6372093023255814</v>
      </c>
      <c r="AA37" s="281">
        <f>+(Y37-E37)/(38%-E37)</f>
        <v>1.6372093023255814</v>
      </c>
      <c r="AB37" s="168">
        <f t="shared" si="17"/>
        <v>1.6372093023255814</v>
      </c>
      <c r="AC37" s="715" t="s">
        <v>375</v>
      </c>
    </row>
    <row r="38" spans="1:29" ht="45" x14ac:dyDescent="0.25">
      <c r="A38" s="4" t="s">
        <v>38</v>
      </c>
      <c r="B38" s="54" t="s">
        <v>177</v>
      </c>
      <c r="C38" s="57" t="s">
        <v>183</v>
      </c>
      <c r="D38" s="9">
        <v>0.22</v>
      </c>
      <c r="E38" s="168">
        <v>0</v>
      </c>
      <c r="F38" s="51">
        <v>0.05</v>
      </c>
      <c r="G38" s="13">
        <v>7.0000000000000007E-2</v>
      </c>
      <c r="H38" s="123">
        <f>+(G38-E38)/(F38-E38)</f>
        <v>1.4000000000000001</v>
      </c>
      <c r="I38" s="158">
        <v>0.09</v>
      </c>
      <c r="J38" s="40">
        <v>0.09</v>
      </c>
      <c r="K38" s="15">
        <v>0.105</v>
      </c>
      <c r="L38" s="22">
        <v>0.105</v>
      </c>
      <c r="M38" s="30">
        <f>+(K38-E38)/(I38-E38)</f>
        <v>1.1666666666666667</v>
      </c>
      <c r="N38" s="30">
        <f>+(L38-E38)/(D38-E38)</f>
        <v>0.47727272727272724</v>
      </c>
      <c r="O38" s="181">
        <v>0.15</v>
      </c>
      <c r="P38" s="31">
        <v>0.15</v>
      </c>
      <c r="Q38" s="40">
        <v>0.14000000000000001</v>
      </c>
      <c r="R38" s="40">
        <v>0.14000000000000001</v>
      </c>
      <c r="S38" s="281">
        <f>+(Q38-E38)/(O38-E38)</f>
        <v>0.93333333333333346</v>
      </c>
      <c r="T38" s="30">
        <f>+(R38-E38)/(P38-E38)</f>
        <v>0.93333333333333346</v>
      </c>
      <c r="U38" s="123" t="s">
        <v>115</v>
      </c>
      <c r="V38" s="716">
        <v>0.22</v>
      </c>
      <c r="W38" s="9">
        <f>+D38</f>
        <v>0.22</v>
      </c>
      <c r="X38" s="174">
        <f>+Q38</f>
        <v>0.14000000000000001</v>
      </c>
      <c r="Y38" s="174">
        <f>+X38</f>
        <v>0.14000000000000001</v>
      </c>
      <c r="Z38" s="281">
        <f>+(X38-E38)/(V38-E38)</f>
        <v>0.63636363636363646</v>
      </c>
      <c r="AA38" s="30">
        <f>+(X38-E38)/(W38-E38)</f>
        <v>0.63636363636363646</v>
      </c>
      <c r="AB38" s="168">
        <f t="shared" si="17"/>
        <v>0.63636363636363646</v>
      </c>
      <c r="AC38" s="715" t="s">
        <v>375</v>
      </c>
    </row>
    <row r="39" spans="1:29" x14ac:dyDescent="0.25">
      <c r="A39" s="4" t="s">
        <v>39</v>
      </c>
      <c r="B39" s="54" t="s">
        <v>177</v>
      </c>
      <c r="C39" s="57" t="s">
        <v>198</v>
      </c>
      <c r="D39" s="29">
        <v>8000</v>
      </c>
      <c r="E39" s="200">
        <v>5703</v>
      </c>
      <c r="F39" s="702">
        <v>1000</v>
      </c>
      <c r="G39" s="27">
        <v>1263</v>
      </c>
      <c r="H39" s="123">
        <f>+G39/F39</f>
        <v>1.2629999999999999</v>
      </c>
      <c r="I39" s="160">
        <v>2335</v>
      </c>
      <c r="J39" s="55">
        <f>+F39+I39</f>
        <v>3335</v>
      </c>
      <c r="K39" s="29">
        <v>3713</v>
      </c>
      <c r="L39" s="27">
        <f>+K39+G39</f>
        <v>4976</v>
      </c>
      <c r="M39" s="30">
        <f>+K39/I39</f>
        <v>1.5901498929336189</v>
      </c>
      <c r="N39" s="123">
        <f>+L39/$K39</f>
        <v>1.3401562079181255</v>
      </c>
      <c r="O39" s="56">
        <v>2367</v>
      </c>
      <c r="P39" s="27">
        <f>+J39+O39</f>
        <v>5702</v>
      </c>
      <c r="Q39" s="66">
        <v>2365</v>
      </c>
      <c r="R39" s="66">
        <f>+L39+Q39</f>
        <v>7341</v>
      </c>
      <c r="S39" s="30">
        <f>+Q39/O39</f>
        <v>0.99915504858470638</v>
      </c>
      <c r="T39" s="30">
        <f>+R39/$Q39</f>
        <v>3.104016913319239</v>
      </c>
      <c r="U39" s="123" t="s">
        <v>115</v>
      </c>
      <c r="V39" s="717">
        <v>2298</v>
      </c>
      <c r="W39" s="29">
        <f>+P39+V39</f>
        <v>8000</v>
      </c>
      <c r="X39" s="165">
        <v>0</v>
      </c>
      <c r="Y39" s="165">
        <f>+R39+X39</f>
        <v>7341</v>
      </c>
      <c r="Z39" s="30">
        <f>+X39/V39</f>
        <v>0</v>
      </c>
      <c r="AA39" s="30">
        <f>+Y39/W39</f>
        <v>0.91762500000000002</v>
      </c>
      <c r="AB39" s="168">
        <f t="shared" si="17"/>
        <v>0.91762500000000002</v>
      </c>
      <c r="AC39" s="715" t="s">
        <v>375</v>
      </c>
    </row>
    <row r="40" spans="1:29" ht="45" x14ac:dyDescent="0.25">
      <c r="A40" s="4" t="s">
        <v>40</v>
      </c>
      <c r="B40" s="54" t="s">
        <v>177</v>
      </c>
      <c r="C40" s="57" t="s">
        <v>183</v>
      </c>
      <c r="D40" s="10">
        <v>0.12</v>
      </c>
      <c r="E40" s="168">
        <v>9.4E-2</v>
      </c>
      <c r="F40" s="51">
        <v>0.10050000000000001</v>
      </c>
      <c r="G40" s="13">
        <v>9.0999999999999998E-2</v>
      </c>
      <c r="H40" s="123">
        <f>+G40/F40</f>
        <v>0.90547263681592027</v>
      </c>
      <c r="I40" s="158">
        <v>0.1069</v>
      </c>
      <c r="J40" s="40">
        <v>0.1069</v>
      </c>
      <c r="K40" s="13">
        <v>0.10050000000000001</v>
      </c>
      <c r="L40" s="13">
        <v>0.10050000000000001</v>
      </c>
      <c r="M40" s="437">
        <f>+K40/I40</f>
        <v>0.94013096351730596</v>
      </c>
      <c r="N40" s="442">
        <f>+L40/$K40</f>
        <v>1</v>
      </c>
      <c r="O40" s="125">
        <v>0.1132</v>
      </c>
      <c r="P40" s="31">
        <v>0.1132</v>
      </c>
      <c r="Q40" s="44">
        <f>+K40</f>
        <v>0.10050000000000001</v>
      </c>
      <c r="R40" s="44">
        <f>+Q40</f>
        <v>0.10050000000000001</v>
      </c>
      <c r="S40" s="30">
        <f>+Q40/O40</f>
        <v>0.88780918727915203</v>
      </c>
      <c r="T40" s="30">
        <f>+R40/$Q40</f>
        <v>1</v>
      </c>
      <c r="U40" s="123" t="s">
        <v>311</v>
      </c>
      <c r="V40" s="716">
        <v>0.12</v>
      </c>
      <c r="W40" s="10">
        <f t="shared" ref="W40:W51" si="19">+D40</f>
        <v>0.12</v>
      </c>
      <c r="X40" s="168">
        <f>+R40</f>
        <v>0.10050000000000001</v>
      </c>
      <c r="Y40" s="168">
        <f>+X40</f>
        <v>0.10050000000000001</v>
      </c>
      <c r="Z40" s="281">
        <f>+X40/V40</f>
        <v>0.83750000000000013</v>
      </c>
      <c r="AA40" s="30">
        <f>+Y40/W40</f>
        <v>0.83750000000000013</v>
      </c>
      <c r="AB40" s="168">
        <f t="shared" si="17"/>
        <v>0.83750000000000013</v>
      </c>
      <c r="AC40" s="715" t="s">
        <v>376</v>
      </c>
    </row>
    <row r="41" spans="1:29" x14ac:dyDescent="0.25">
      <c r="A41" s="4" t="s">
        <v>41</v>
      </c>
      <c r="B41" s="57" t="s">
        <v>199</v>
      </c>
      <c r="C41" s="57" t="s">
        <v>200</v>
      </c>
      <c r="D41" s="29">
        <v>4350</v>
      </c>
      <c r="E41" s="200">
        <v>2889</v>
      </c>
      <c r="F41" s="702">
        <v>3400</v>
      </c>
      <c r="G41" s="16">
        <v>3842</v>
      </c>
      <c r="H41" s="123">
        <f>+(G41-E41)/(F41-E41)</f>
        <v>1.8649706457925637</v>
      </c>
      <c r="I41" s="160">
        <v>3700</v>
      </c>
      <c r="J41" s="705">
        <v>3700</v>
      </c>
      <c r="K41" s="29">
        <v>4188</v>
      </c>
      <c r="L41" s="29">
        <v>4188</v>
      </c>
      <c r="M41" s="30">
        <f>+(K41-E41)/(I41-E41)</f>
        <v>1.6017262638717633</v>
      </c>
      <c r="N41" s="30">
        <f>+(L41-E41)/(D41-E41)</f>
        <v>0.88911704312114992</v>
      </c>
      <c r="O41" s="161">
        <v>4000</v>
      </c>
      <c r="P41" s="27">
        <v>4000</v>
      </c>
      <c r="Q41" s="107">
        <v>4059</v>
      </c>
      <c r="R41" s="107">
        <v>4059</v>
      </c>
      <c r="S41" s="281">
        <f>+(Q41-E41)/(O41-E41)</f>
        <v>1.0531053105310531</v>
      </c>
      <c r="T41" s="30">
        <f>+R41/$Q41</f>
        <v>1</v>
      </c>
      <c r="U41" s="123" t="s">
        <v>115</v>
      </c>
      <c r="V41" s="717">
        <v>4350</v>
      </c>
      <c r="W41" s="29">
        <f t="shared" si="19"/>
        <v>4350</v>
      </c>
      <c r="X41" s="165">
        <v>4138</v>
      </c>
      <c r="Y41" s="165">
        <f>+X41</f>
        <v>4138</v>
      </c>
      <c r="Z41" s="30">
        <f>+(X41-E41)/(V41-E41)</f>
        <v>0.85489390828199863</v>
      </c>
      <c r="AA41" s="30">
        <f>+(Y41-E41)/(D41-E41)</f>
        <v>0.85489390828199863</v>
      </c>
      <c r="AB41" s="168">
        <f t="shared" si="17"/>
        <v>0.85489390828199863</v>
      </c>
      <c r="AC41" s="715" t="s">
        <v>419</v>
      </c>
    </row>
    <row r="42" spans="1:29" x14ac:dyDescent="0.25">
      <c r="A42" s="4" t="s">
        <v>42</v>
      </c>
      <c r="B42" s="54" t="s">
        <v>177</v>
      </c>
      <c r="C42" s="57" t="s">
        <v>201</v>
      </c>
      <c r="D42" s="10">
        <v>5.6090000000000001E-2</v>
      </c>
      <c r="E42" s="168">
        <v>5.0700000000000002E-2</v>
      </c>
      <c r="F42" s="51">
        <v>5.0709999999999998E-2</v>
      </c>
      <c r="G42" s="32">
        <v>5.4199999999999998E-2</v>
      </c>
      <c r="H42" s="123">
        <f>+(G42-E42)/(F42-E42)</f>
        <v>350.00000000013529</v>
      </c>
      <c r="I42" s="158">
        <v>5.2449999999999997E-2</v>
      </c>
      <c r="J42" s="40">
        <v>5.2449999999999997E-2</v>
      </c>
      <c r="K42" s="13">
        <v>5.6500000000000002E-2</v>
      </c>
      <c r="L42" s="13">
        <v>5.6500000000000002E-2</v>
      </c>
      <c r="M42" s="30">
        <f>+(K42-E42)/(I42-E42)</f>
        <v>3.3142857142857243</v>
      </c>
      <c r="N42" s="30">
        <f>+(L42-E42)/(D42-E42)</f>
        <v>1.0760667903525047</v>
      </c>
      <c r="O42" s="181">
        <v>5.3999999999999999E-2</v>
      </c>
      <c r="P42" s="31">
        <v>5.3999999999999999E-2</v>
      </c>
      <c r="Q42" s="44">
        <v>5.67E-2</v>
      </c>
      <c r="R42" s="44">
        <v>5.67E-2</v>
      </c>
      <c r="S42" s="281">
        <f>+(Q42-E42)/(O42-E42)</f>
        <v>1.8181818181818192</v>
      </c>
      <c r="T42" s="281">
        <f>+(R42-E42)/(D42-E42)</f>
        <v>1.1131725417439702</v>
      </c>
      <c r="U42" s="123" t="s">
        <v>115</v>
      </c>
      <c r="V42" s="716">
        <v>5.6099999999999997E-2</v>
      </c>
      <c r="W42" s="10">
        <f t="shared" si="19"/>
        <v>5.6090000000000001E-2</v>
      </c>
      <c r="X42" s="171">
        <f>+Q42</f>
        <v>5.67E-2</v>
      </c>
      <c r="Y42" s="171">
        <f>+X42</f>
        <v>5.67E-2</v>
      </c>
      <c r="Z42" s="281">
        <f>+(X42-E42)/(V42-E42)</f>
        <v>1.1111111111111118</v>
      </c>
      <c r="AA42" s="281">
        <f>+(Y42-E42)/(W42-E42)</f>
        <v>1.1131725417439702</v>
      </c>
      <c r="AB42" s="168">
        <f t="shared" si="17"/>
        <v>1.1131725417439702</v>
      </c>
      <c r="AC42" s="715" t="s">
        <v>375</v>
      </c>
    </row>
    <row r="43" spans="1:29" ht="30" x14ac:dyDescent="0.25">
      <c r="A43" s="4" t="s">
        <v>43</v>
      </c>
      <c r="B43" s="54" t="s">
        <v>177</v>
      </c>
      <c r="C43" s="57" t="s">
        <v>202</v>
      </c>
      <c r="D43" s="29">
        <v>2720</v>
      </c>
      <c r="E43" s="200">
        <v>2012</v>
      </c>
      <c r="F43" s="702">
        <v>2109</v>
      </c>
      <c r="G43" s="29">
        <v>2027</v>
      </c>
      <c r="H43" s="123">
        <f>+(G43-E43)/(F43-E43)</f>
        <v>0.15463917525773196</v>
      </c>
      <c r="I43" s="160">
        <v>2230</v>
      </c>
      <c r="J43" s="705">
        <v>2230</v>
      </c>
      <c r="K43" s="29">
        <v>2477</v>
      </c>
      <c r="L43" s="27">
        <v>2477</v>
      </c>
      <c r="M43" s="30">
        <f>+(K43-E43)/(I43-E43)</f>
        <v>2.1330275229357798</v>
      </c>
      <c r="N43" s="30">
        <f>+(L43-E43)/(D43-E43)</f>
        <v>0.65677966101694918</v>
      </c>
      <c r="O43" s="161">
        <v>2545</v>
      </c>
      <c r="P43" s="27">
        <v>2545</v>
      </c>
      <c r="Q43" s="55">
        <v>2808</v>
      </c>
      <c r="R43" s="55">
        <v>2808</v>
      </c>
      <c r="S43" s="281">
        <f>+(Q43-E43)/(O43-E43)</f>
        <v>1.4934333958724202</v>
      </c>
      <c r="T43" s="281">
        <f>+(R43-E43)/(D43-E43)</f>
        <v>1.1242937853107344</v>
      </c>
      <c r="U43" s="123" t="s">
        <v>115</v>
      </c>
      <c r="V43" s="717">
        <v>2720</v>
      </c>
      <c r="W43" s="29">
        <f t="shared" si="19"/>
        <v>2720</v>
      </c>
      <c r="X43" s="165">
        <f>+Q43</f>
        <v>2808</v>
      </c>
      <c r="Y43" s="165">
        <v>2808</v>
      </c>
      <c r="Z43" s="281">
        <f>+(X43-E43)/(V43-E43)</f>
        <v>1.1242937853107344</v>
      </c>
      <c r="AA43" s="281">
        <f>+(Y43-E43)/(W43-E43)</f>
        <v>1.1242937853107344</v>
      </c>
      <c r="AB43" s="168">
        <f t="shared" si="17"/>
        <v>1.1242937853107344</v>
      </c>
      <c r="AC43" s="715" t="s">
        <v>375</v>
      </c>
    </row>
    <row r="44" spans="1:29" ht="60" x14ac:dyDescent="0.25">
      <c r="A44" s="4" t="s">
        <v>44</v>
      </c>
      <c r="B44" s="54" t="s">
        <v>178</v>
      </c>
      <c r="C44" s="57" t="s">
        <v>193</v>
      </c>
      <c r="D44" s="29">
        <v>1500000</v>
      </c>
      <c r="E44" s="200">
        <v>0</v>
      </c>
      <c r="F44" s="702">
        <v>305516</v>
      </c>
      <c r="G44" s="29">
        <v>316895</v>
      </c>
      <c r="H44" s="123">
        <f>+(G44-E44)/(F44-E44)</f>
        <v>1.0372451851948834</v>
      </c>
      <c r="I44" s="160">
        <v>687411</v>
      </c>
      <c r="J44" s="55">
        <v>687411</v>
      </c>
      <c r="K44" s="29">
        <v>512169</v>
      </c>
      <c r="L44" s="439">
        <v>512169</v>
      </c>
      <c r="M44" s="30">
        <f>+(K44-E44)/(I44-E44)</f>
        <v>0.745069543548183</v>
      </c>
      <c r="N44" s="30">
        <f>+(L44-E44)/(D44-E44)</f>
        <v>0.34144600000000003</v>
      </c>
      <c r="O44" s="161">
        <v>1000000</v>
      </c>
      <c r="P44" s="27">
        <v>1000000</v>
      </c>
      <c r="Q44" s="94">
        <v>730411</v>
      </c>
      <c r="R44" s="374">
        <v>730411</v>
      </c>
      <c r="S44" s="281">
        <f>+(Q44-E44)/(O44-E44)</f>
        <v>0.73041100000000003</v>
      </c>
      <c r="T44" s="281">
        <f>+(R44-E44)/(D44-E44)</f>
        <v>0.48694066666666669</v>
      </c>
      <c r="U44" s="123" t="s">
        <v>115</v>
      </c>
      <c r="V44" s="717">
        <v>1500000</v>
      </c>
      <c r="W44" s="29">
        <f t="shared" si="19"/>
        <v>1500000</v>
      </c>
      <c r="X44" s="165">
        <v>934203</v>
      </c>
      <c r="Y44" s="165">
        <v>788973</v>
      </c>
      <c r="Z44" s="281">
        <f>+(X44-E44)/(V44-E44)</f>
        <v>0.62280199999999997</v>
      </c>
      <c r="AA44" s="281">
        <f>+(Y44-E44)/(W44-E44)</f>
        <v>0.52598199999999995</v>
      </c>
      <c r="AB44" s="168">
        <f>+AA44</f>
        <v>0.52598199999999995</v>
      </c>
      <c r="AC44" s="715" t="s">
        <v>389</v>
      </c>
    </row>
    <row r="45" spans="1:29" x14ac:dyDescent="0.25">
      <c r="A45" s="4" t="s">
        <v>45</v>
      </c>
      <c r="B45" s="54" t="s">
        <v>177</v>
      </c>
      <c r="C45" s="57" t="s">
        <v>186</v>
      </c>
      <c r="D45" s="32">
        <v>0.2</v>
      </c>
      <c r="E45" s="168">
        <v>0.14899999999999999</v>
      </c>
      <c r="F45" s="51">
        <v>0.16</v>
      </c>
      <c r="G45" s="32">
        <v>0.157</v>
      </c>
      <c r="H45" s="123">
        <f>+(G45-E45)/(F45-E45)</f>
        <v>0.72727272727272729</v>
      </c>
      <c r="I45" s="181">
        <v>0.17299999999999999</v>
      </c>
      <c r="J45" s="40">
        <v>0.17299999999999999</v>
      </c>
      <c r="K45" s="32">
        <v>0.16900000000000001</v>
      </c>
      <c r="L45" s="32">
        <v>0.16900000000000001</v>
      </c>
      <c r="M45" s="30">
        <f>+(K45-E45)/(I45-E45)</f>
        <v>0.83333333333333426</v>
      </c>
      <c r="N45" s="30">
        <f>+(L45-E45)/(D45-E45)</f>
        <v>0.39215686274509826</v>
      </c>
      <c r="O45" s="181">
        <v>0.187</v>
      </c>
      <c r="P45" s="31">
        <v>0.187</v>
      </c>
      <c r="Q45" s="40">
        <v>0.191</v>
      </c>
      <c r="R45" s="40">
        <v>0.191</v>
      </c>
      <c r="S45" s="281">
        <f>+(Q45-E45)/(O45-E45)</f>
        <v>1.1052631578947369</v>
      </c>
      <c r="T45" s="281">
        <f>+(R45-E45)/(D45-E45)</f>
        <v>0.82352941176470573</v>
      </c>
      <c r="U45" s="123" t="s">
        <v>115</v>
      </c>
      <c r="V45" s="723">
        <v>0.2</v>
      </c>
      <c r="W45" s="32">
        <f t="shared" si="19"/>
        <v>0.2</v>
      </c>
      <c r="X45" s="168">
        <f>+Q45</f>
        <v>0.191</v>
      </c>
      <c r="Y45" s="168">
        <f>+X45</f>
        <v>0.191</v>
      </c>
      <c r="Z45" s="281">
        <f>+(X45-E45)/(V45-E45)</f>
        <v>0.82352941176470573</v>
      </c>
      <c r="AA45" s="281">
        <f>+(Y45-E45)/(W45-E45)</f>
        <v>0.82352941176470573</v>
      </c>
      <c r="AB45" s="168">
        <f t="shared" si="17"/>
        <v>0.82352941176470573</v>
      </c>
      <c r="AC45" s="715" t="s">
        <v>375</v>
      </c>
    </row>
    <row r="46" spans="1:29" x14ac:dyDescent="0.25">
      <c r="A46" s="4" t="s">
        <v>46</v>
      </c>
      <c r="B46" s="54" t="s">
        <v>203</v>
      </c>
      <c r="C46" s="57" t="s">
        <v>183</v>
      </c>
      <c r="D46" s="32">
        <v>0.9</v>
      </c>
      <c r="E46" s="168">
        <v>0.68</v>
      </c>
      <c r="F46" s="51">
        <v>0.7</v>
      </c>
      <c r="G46" s="32">
        <v>0.74099999999999999</v>
      </c>
      <c r="H46" s="249">
        <f>+G46/F46</f>
        <v>1.0585714285714287</v>
      </c>
      <c r="I46" s="181">
        <v>0.76</v>
      </c>
      <c r="J46" s="40">
        <v>0.76</v>
      </c>
      <c r="K46" s="32">
        <v>0.78300000000000003</v>
      </c>
      <c r="L46" s="32">
        <v>0.78300000000000003</v>
      </c>
      <c r="M46" s="30">
        <f>+K46/I46</f>
        <v>1.0302631578947368</v>
      </c>
      <c r="N46" s="30">
        <f>+L46/J46</f>
        <v>1.0302631578947368</v>
      </c>
      <c r="O46" s="181">
        <v>0.83</v>
      </c>
      <c r="P46" s="31">
        <v>0.83</v>
      </c>
      <c r="Q46" s="44">
        <v>0.62629999999999997</v>
      </c>
      <c r="R46" s="44">
        <v>0.62629999999999997</v>
      </c>
      <c r="S46" s="281">
        <f>+Q46/O46</f>
        <v>0.75457831325301206</v>
      </c>
      <c r="T46" s="30">
        <f>+R46/P46</f>
        <v>0.75457831325301206</v>
      </c>
      <c r="U46" s="123" t="s">
        <v>115</v>
      </c>
      <c r="V46" s="724">
        <v>0.9</v>
      </c>
      <c r="W46" s="32">
        <f t="shared" si="19"/>
        <v>0.9</v>
      </c>
      <c r="X46" s="725">
        <v>0.53039999999999998</v>
      </c>
      <c r="Y46" s="725">
        <f>+R46</f>
        <v>0.62629999999999997</v>
      </c>
      <c r="Z46" s="281">
        <f>+X46/V46</f>
        <v>0.58933333333333326</v>
      </c>
      <c r="AA46" s="30">
        <f>+Y46/W46</f>
        <v>0.69588888888888889</v>
      </c>
      <c r="AB46" s="168">
        <f t="shared" si="17"/>
        <v>0.69588888888888889</v>
      </c>
      <c r="AC46" s="722" t="s">
        <v>418</v>
      </c>
    </row>
    <row r="47" spans="1:29" ht="45" x14ac:dyDescent="0.25">
      <c r="A47" s="4" t="s">
        <v>47</v>
      </c>
      <c r="B47" s="54" t="s">
        <v>180</v>
      </c>
      <c r="C47" s="57" t="s">
        <v>193</v>
      </c>
      <c r="D47" s="29">
        <v>2000</v>
      </c>
      <c r="E47" s="200">
        <v>117</v>
      </c>
      <c r="F47" s="702">
        <v>250</v>
      </c>
      <c r="G47" s="16">
        <v>246</v>
      </c>
      <c r="H47" s="123">
        <f>+(G47-E47)/(F47-E47)</f>
        <v>0.96992481203007519</v>
      </c>
      <c r="I47" s="161">
        <v>500</v>
      </c>
      <c r="J47" s="42">
        <v>500</v>
      </c>
      <c r="K47" s="29">
        <v>441</v>
      </c>
      <c r="L47" s="16">
        <v>441</v>
      </c>
      <c r="M47" s="30">
        <f>+(K47-E47)/(I47-E47)</f>
        <v>0.84595300261096606</v>
      </c>
      <c r="N47" s="30">
        <f>+(L47-E47)/(D47-E47)</f>
        <v>0.17206585236325014</v>
      </c>
      <c r="O47" s="161">
        <v>1000</v>
      </c>
      <c r="P47" s="27">
        <v>1000</v>
      </c>
      <c r="Q47" s="726">
        <v>621</v>
      </c>
      <c r="R47" s="726">
        <v>621</v>
      </c>
      <c r="S47" s="281">
        <f>+(Q47-E47)/(O47-E47)</f>
        <v>0.57078142695356737</v>
      </c>
      <c r="T47" s="281">
        <f>+(R47-E47)/(D47-E47)</f>
        <v>0.26765799256505574</v>
      </c>
      <c r="U47" s="123" t="s">
        <v>120</v>
      </c>
      <c r="V47" s="717">
        <v>2000</v>
      </c>
      <c r="W47" s="29">
        <f t="shared" si="19"/>
        <v>2000</v>
      </c>
      <c r="X47" s="165">
        <v>814</v>
      </c>
      <c r="Y47" s="165">
        <f>+X47</f>
        <v>814</v>
      </c>
      <c r="Z47" s="281">
        <f>+(X47-E47)/(V47-E47)</f>
        <v>0.37015400955921401</v>
      </c>
      <c r="AA47" s="281">
        <f>+(Y47-E47)/(W47-E47)</f>
        <v>0.37015400955921401</v>
      </c>
      <c r="AB47" s="168">
        <f t="shared" si="17"/>
        <v>0.37015400955921401</v>
      </c>
      <c r="AC47" s="727" t="s">
        <v>418</v>
      </c>
    </row>
    <row r="48" spans="1:29" ht="30" x14ac:dyDescent="0.25">
      <c r="A48" s="4" t="s">
        <v>48</v>
      </c>
      <c r="B48" s="54" t="s">
        <v>178</v>
      </c>
      <c r="C48" s="57" t="s">
        <v>183</v>
      </c>
      <c r="D48" s="13">
        <v>0.9</v>
      </c>
      <c r="E48" s="168">
        <v>0.16500000000000001</v>
      </c>
      <c r="F48" s="61">
        <v>0.25</v>
      </c>
      <c r="G48" s="13">
        <v>0.216</v>
      </c>
      <c r="H48" s="123">
        <f>+(G48-E48)/(F48-E48)</f>
        <v>0.6</v>
      </c>
      <c r="I48" s="159">
        <v>0.4</v>
      </c>
      <c r="J48" s="38">
        <v>0.4</v>
      </c>
      <c r="K48" s="32">
        <v>0.26100000000000001</v>
      </c>
      <c r="L48" s="13">
        <v>0.26100000000000001</v>
      </c>
      <c r="M48" s="30">
        <f>+(K48-E48)/(I48-E48)</f>
        <v>0.40851063829787232</v>
      </c>
      <c r="N48" s="30">
        <f>+(L48-E48)/(D48-E48)</f>
        <v>0.1306122448979592</v>
      </c>
      <c r="O48" s="159">
        <v>0.6</v>
      </c>
      <c r="P48" s="13">
        <v>0.6</v>
      </c>
      <c r="Q48" s="13">
        <v>0.53129999999999999</v>
      </c>
      <c r="R48" s="13">
        <v>0.53129999999999999</v>
      </c>
      <c r="S48" s="281">
        <f>+(Q48-E48)/(O48-E48)</f>
        <v>0.84206896551724142</v>
      </c>
      <c r="T48" s="30">
        <f>+(R48-E48)/(D48-E48)</f>
        <v>0.49836734693877549</v>
      </c>
      <c r="U48" s="123" t="s">
        <v>115</v>
      </c>
      <c r="V48" s="728">
        <v>0.9</v>
      </c>
      <c r="W48" s="13">
        <f t="shared" si="19"/>
        <v>0.9</v>
      </c>
      <c r="X48" s="167">
        <v>0.6</v>
      </c>
      <c r="Y48" s="167">
        <f>+X48</f>
        <v>0.6</v>
      </c>
      <c r="Z48" s="30">
        <f>+(X48-E48)/(V48-E48)</f>
        <v>0.59183673469387743</v>
      </c>
      <c r="AA48" s="30">
        <f>+(Y48-E48)/(D48-E48)</f>
        <v>0.59183673469387743</v>
      </c>
      <c r="AB48" s="168">
        <f t="shared" si="17"/>
        <v>0.59183673469387743</v>
      </c>
      <c r="AC48" s="729" t="s">
        <v>418</v>
      </c>
    </row>
    <row r="49" spans="1:29" ht="45" x14ac:dyDescent="0.25">
      <c r="A49" s="4" t="s">
        <v>49</v>
      </c>
      <c r="B49" s="54" t="s">
        <v>177</v>
      </c>
      <c r="C49" s="57" t="s">
        <v>183</v>
      </c>
      <c r="D49" s="13">
        <v>0.13200000000000001</v>
      </c>
      <c r="E49" s="168">
        <v>3.4000000000000002E-2</v>
      </c>
      <c r="F49" s="51">
        <v>0.04</v>
      </c>
      <c r="G49" s="13">
        <v>4.7E-2</v>
      </c>
      <c r="H49" s="123">
        <f>+G49/F49</f>
        <v>1.175</v>
      </c>
      <c r="I49" s="181">
        <v>0.06</v>
      </c>
      <c r="J49" s="40">
        <v>0.06</v>
      </c>
      <c r="K49" s="32">
        <v>2.9000000000000001E-2</v>
      </c>
      <c r="L49" s="14">
        <f>+K49</f>
        <v>2.9000000000000001E-2</v>
      </c>
      <c r="M49" s="30">
        <f>+K49/I49</f>
        <v>0.48333333333333339</v>
      </c>
      <c r="N49" s="123">
        <f>+L49/$K49</f>
        <v>1</v>
      </c>
      <c r="O49" s="125">
        <v>0.09</v>
      </c>
      <c r="P49" s="31">
        <v>0.09</v>
      </c>
      <c r="Q49" s="40">
        <v>0.1439</v>
      </c>
      <c r="R49" s="40">
        <f>+Q49</f>
        <v>0.1439</v>
      </c>
      <c r="S49" s="30">
        <f>+Q49/O49</f>
        <v>1.598888888888889</v>
      </c>
      <c r="T49" s="30">
        <f>+R49/$Q49</f>
        <v>1</v>
      </c>
      <c r="U49" s="123" t="s">
        <v>115</v>
      </c>
      <c r="V49" s="728">
        <v>0.13200000000000001</v>
      </c>
      <c r="W49" s="13">
        <f t="shared" si="19"/>
        <v>0.13200000000000001</v>
      </c>
      <c r="X49" s="167">
        <f t="shared" ref="X49:X54" si="20">+Q49</f>
        <v>0.1439</v>
      </c>
      <c r="Y49" s="168">
        <f t="shared" ref="Y49:Y57" si="21">+X49</f>
        <v>0.1439</v>
      </c>
      <c r="Z49" s="30">
        <f t="shared" ref="Z49:AA52" si="22">+X49/V49</f>
        <v>1.0901515151515151</v>
      </c>
      <c r="AA49" s="30">
        <f t="shared" si="22"/>
        <v>1.0901515151515151</v>
      </c>
      <c r="AB49" s="168">
        <f t="shared" si="17"/>
        <v>1.0901515151515151</v>
      </c>
      <c r="AC49" s="715" t="s">
        <v>375</v>
      </c>
    </row>
    <row r="50" spans="1:29" ht="45" x14ac:dyDescent="0.25">
      <c r="A50" s="4" t="s">
        <v>50</v>
      </c>
      <c r="B50" s="54" t="s">
        <v>177</v>
      </c>
      <c r="C50" s="57" t="s">
        <v>183</v>
      </c>
      <c r="D50" s="32">
        <v>0.14699999999999999</v>
      </c>
      <c r="E50" s="168">
        <v>9.2999999999999999E-2</v>
      </c>
      <c r="F50" s="51">
        <v>0.105</v>
      </c>
      <c r="G50" s="32">
        <v>0.17</v>
      </c>
      <c r="H50" s="123">
        <f>+G50/F50</f>
        <v>1.6190476190476193</v>
      </c>
      <c r="I50" s="181">
        <v>0.12</v>
      </c>
      <c r="J50" s="40">
        <v>0.12</v>
      </c>
      <c r="K50" s="32">
        <v>0.128</v>
      </c>
      <c r="L50" s="31">
        <f>+K50</f>
        <v>0.128</v>
      </c>
      <c r="M50" s="30">
        <f>+K50/I50</f>
        <v>1.0666666666666667</v>
      </c>
      <c r="N50" s="123">
        <f>+L50/$K50</f>
        <v>1</v>
      </c>
      <c r="O50" s="125">
        <v>0.13</v>
      </c>
      <c r="P50" s="31">
        <v>0.13</v>
      </c>
      <c r="Q50" s="40">
        <v>0.20649999999999999</v>
      </c>
      <c r="R50" s="40">
        <f>+Q50</f>
        <v>0.20649999999999999</v>
      </c>
      <c r="S50" s="30">
        <f>+Q50/O50</f>
        <v>1.5884615384615384</v>
      </c>
      <c r="T50" s="30">
        <f>+R50/$Q50</f>
        <v>1</v>
      </c>
      <c r="U50" s="123" t="s">
        <v>115</v>
      </c>
      <c r="V50" s="728">
        <v>0.14699999999999999</v>
      </c>
      <c r="W50" s="32">
        <f t="shared" si="19"/>
        <v>0.14699999999999999</v>
      </c>
      <c r="X50" s="168">
        <f t="shared" si="20"/>
        <v>0.20649999999999999</v>
      </c>
      <c r="Y50" s="168">
        <f t="shared" si="21"/>
        <v>0.20649999999999999</v>
      </c>
      <c r="Z50" s="30">
        <f t="shared" si="22"/>
        <v>1.4047619047619047</v>
      </c>
      <c r="AA50" s="30">
        <f t="shared" si="22"/>
        <v>1.4047619047619047</v>
      </c>
      <c r="AB50" s="168">
        <f t="shared" si="17"/>
        <v>1.4047619047619047</v>
      </c>
      <c r="AC50" s="715" t="s">
        <v>375</v>
      </c>
    </row>
    <row r="51" spans="1:29" ht="45" x14ac:dyDescent="0.25">
      <c r="A51" s="4" t="s">
        <v>51</v>
      </c>
      <c r="B51" s="54" t="s">
        <v>177</v>
      </c>
      <c r="C51" s="57" t="s">
        <v>183</v>
      </c>
      <c r="D51" s="32">
        <v>0.15</v>
      </c>
      <c r="E51" s="168">
        <v>0.1</v>
      </c>
      <c r="F51" s="51">
        <v>0.112</v>
      </c>
      <c r="G51" s="32">
        <v>0.1</v>
      </c>
      <c r="H51" s="123">
        <f>+G51/F51</f>
        <v>0.8928571428571429</v>
      </c>
      <c r="I51" s="181">
        <v>0.124</v>
      </c>
      <c r="J51" s="40">
        <v>0.124</v>
      </c>
      <c r="K51" s="30">
        <v>9.11E-2</v>
      </c>
      <c r="L51" s="30">
        <v>9.11E-2</v>
      </c>
      <c r="M51" s="30">
        <f>+K51/I51</f>
        <v>0.73467741935483877</v>
      </c>
      <c r="N51" s="123">
        <f>+L51/$K51</f>
        <v>1</v>
      </c>
      <c r="O51" s="125">
        <v>0.13700000000000001</v>
      </c>
      <c r="P51" s="31">
        <v>0.13700000000000001</v>
      </c>
      <c r="Q51" s="40">
        <v>9.0999999999999998E-2</v>
      </c>
      <c r="R51" s="40">
        <v>9.0999999999999998E-2</v>
      </c>
      <c r="S51" s="30">
        <f>+Q51/O51</f>
        <v>0.66423357664233573</v>
      </c>
      <c r="T51" s="30">
        <f>+R51/$Q51</f>
        <v>1</v>
      </c>
      <c r="U51" s="123" t="s">
        <v>115</v>
      </c>
      <c r="V51" s="716">
        <v>0.15</v>
      </c>
      <c r="W51" s="32">
        <f t="shared" si="19"/>
        <v>0.15</v>
      </c>
      <c r="X51" s="168">
        <f t="shared" si="20"/>
        <v>9.0999999999999998E-2</v>
      </c>
      <c r="Y51" s="168">
        <f t="shared" si="21"/>
        <v>9.0999999999999998E-2</v>
      </c>
      <c r="Z51" s="30">
        <f t="shared" si="22"/>
        <v>0.60666666666666669</v>
      </c>
      <c r="AA51" s="30">
        <f t="shared" si="22"/>
        <v>0.60666666666666669</v>
      </c>
      <c r="AB51" s="168">
        <f t="shared" si="17"/>
        <v>0.60666666666666669</v>
      </c>
      <c r="AC51" s="715" t="s">
        <v>375</v>
      </c>
    </row>
    <row r="52" spans="1:29" x14ac:dyDescent="0.25">
      <c r="A52" s="4" t="s">
        <v>52</v>
      </c>
      <c r="B52" s="54" t="s">
        <v>177</v>
      </c>
      <c r="C52" s="57" t="s">
        <v>204</v>
      </c>
      <c r="D52" s="29">
        <f>150000</f>
        <v>150000</v>
      </c>
      <c r="E52" s="200">
        <v>168664</v>
      </c>
      <c r="F52" s="702">
        <f>36905</f>
        <v>36905</v>
      </c>
      <c r="G52" s="16">
        <f>6230</f>
        <v>6230</v>
      </c>
      <c r="H52" s="123">
        <f>+G52/F52</f>
        <v>0.16881181411732826</v>
      </c>
      <c r="I52" s="161">
        <v>73810</v>
      </c>
      <c r="J52" s="42">
        <f>73810</f>
        <v>73810</v>
      </c>
      <c r="K52" s="29">
        <v>10018</v>
      </c>
      <c r="L52" s="64">
        <f>K52</f>
        <v>10018</v>
      </c>
      <c r="M52" s="437">
        <f>+K52/I52</f>
        <v>0.13572686627828207</v>
      </c>
      <c r="N52" s="442">
        <f>+L52/$K52</f>
        <v>1</v>
      </c>
      <c r="O52" s="56">
        <f>110715</f>
        <v>110715</v>
      </c>
      <c r="P52" s="27">
        <f>110715</f>
        <v>110715</v>
      </c>
      <c r="Q52" s="371">
        <v>20855</v>
      </c>
      <c r="R52" s="371">
        <f>Q52</f>
        <v>20855</v>
      </c>
      <c r="S52" s="30">
        <f>+Q52/O52</f>
        <v>0.18836652666756989</v>
      </c>
      <c r="T52" s="30">
        <f>+R52/$Q52</f>
        <v>1</v>
      </c>
      <c r="U52" s="123" t="s">
        <v>115</v>
      </c>
      <c r="V52" s="717">
        <v>150000</v>
      </c>
      <c r="W52" s="29">
        <f>+V52</f>
        <v>150000</v>
      </c>
      <c r="X52" s="165">
        <f t="shared" si="20"/>
        <v>20855</v>
      </c>
      <c r="Y52" s="165">
        <f t="shared" si="21"/>
        <v>20855</v>
      </c>
      <c r="Z52" s="281">
        <f t="shared" si="22"/>
        <v>0.13903333333333334</v>
      </c>
      <c r="AA52" s="30">
        <f t="shared" si="22"/>
        <v>0.13903333333333334</v>
      </c>
      <c r="AB52" s="168">
        <f t="shared" si="17"/>
        <v>0.13903333333333334</v>
      </c>
      <c r="AC52" s="715" t="s">
        <v>375</v>
      </c>
    </row>
    <row r="53" spans="1:29" ht="30" x14ac:dyDescent="0.25">
      <c r="A53" s="4" t="s">
        <v>53</v>
      </c>
      <c r="B53" s="54" t="s">
        <v>177</v>
      </c>
      <c r="C53" s="57" t="s">
        <v>186</v>
      </c>
      <c r="D53" s="32">
        <v>0.15</v>
      </c>
      <c r="E53" s="168">
        <v>0.19400000000000001</v>
      </c>
      <c r="F53" s="51">
        <v>0.183</v>
      </c>
      <c r="G53" s="32">
        <v>0.183</v>
      </c>
      <c r="H53" s="123">
        <f>(E53-G53)/(E53-F53)</f>
        <v>1</v>
      </c>
      <c r="I53" s="181">
        <v>0.17199999999999999</v>
      </c>
      <c r="J53" s="40">
        <v>0.17199999999999999</v>
      </c>
      <c r="K53" s="32">
        <v>0.17100000000000001</v>
      </c>
      <c r="L53" s="32">
        <v>0.17100000000000001</v>
      </c>
      <c r="M53" s="437">
        <f>+(E53-K53)/(E53-I53)</f>
        <v>1.0454545454545443</v>
      </c>
      <c r="N53" s="442">
        <f>+(E53-L53)/(E53-D53)</f>
        <v>0.52272727272727237</v>
      </c>
      <c r="O53" s="125">
        <v>0.161</v>
      </c>
      <c r="P53" s="31">
        <v>0.161</v>
      </c>
      <c r="Q53" s="40">
        <f>+K53</f>
        <v>0.17100000000000001</v>
      </c>
      <c r="R53" s="40">
        <f>+Q53</f>
        <v>0.17100000000000001</v>
      </c>
      <c r="S53" s="30">
        <f>+(E53-Q53)/(E53-O53)</f>
        <v>0.69696969696969668</v>
      </c>
      <c r="T53" s="30">
        <f>(E53-R53)/(E53-P53)</f>
        <v>0.69696969696969668</v>
      </c>
      <c r="U53" s="123" t="s">
        <v>312</v>
      </c>
      <c r="V53" s="723">
        <v>0.15</v>
      </c>
      <c r="W53" s="32">
        <f>+D53</f>
        <v>0.15</v>
      </c>
      <c r="X53" s="168">
        <f t="shared" si="20"/>
        <v>0.17100000000000001</v>
      </c>
      <c r="Y53" s="168">
        <f t="shared" si="21"/>
        <v>0.17100000000000001</v>
      </c>
      <c r="Z53" s="30">
        <f>(E53-X53)/(E53-V53)</f>
        <v>0.52272727272727237</v>
      </c>
      <c r="AA53" s="30">
        <f>+(E53-Y53)/(E53-W53)</f>
        <v>0.52272727272727237</v>
      </c>
      <c r="AB53" s="168">
        <f t="shared" si="17"/>
        <v>0.52272727272727237</v>
      </c>
      <c r="AC53" s="715" t="s">
        <v>376</v>
      </c>
    </row>
    <row r="54" spans="1:29" x14ac:dyDescent="0.25">
      <c r="A54" s="4" t="s">
        <v>54</v>
      </c>
      <c r="B54" s="54" t="s">
        <v>177</v>
      </c>
      <c r="C54" s="57" t="s">
        <v>186</v>
      </c>
      <c r="D54" s="32">
        <v>0.56999999999999995</v>
      </c>
      <c r="E54" s="168">
        <v>0.47799999999999998</v>
      </c>
      <c r="F54" s="51">
        <v>0.48899999999999999</v>
      </c>
      <c r="G54" s="32">
        <v>0.49399999999999999</v>
      </c>
      <c r="H54" s="123">
        <f>+(G54-E54)/(F54-E54)</f>
        <v>1.4545454545454546</v>
      </c>
      <c r="I54" s="181">
        <v>0.51600000000000001</v>
      </c>
      <c r="J54" s="40">
        <v>0.51600000000000001</v>
      </c>
      <c r="K54" s="32">
        <v>0.51500000000000001</v>
      </c>
      <c r="L54" s="32">
        <v>0.51500000000000001</v>
      </c>
      <c r="M54" s="30">
        <f>+(K54-E54)/(I54-E54)</f>
        <v>0.97368421052631582</v>
      </c>
      <c r="N54" s="30">
        <f>+(L54-E54)/(D54-E54)</f>
        <v>0.40217391304347877</v>
      </c>
      <c r="O54" s="181">
        <v>0.54300000000000004</v>
      </c>
      <c r="P54" s="31">
        <v>0.54300000000000004</v>
      </c>
      <c r="Q54" s="40">
        <v>0.52800000000000002</v>
      </c>
      <c r="R54" s="40">
        <v>0.52800000000000002</v>
      </c>
      <c r="S54" s="281">
        <f>+(Q54-E54)/(O54-E54)</f>
        <v>0.76923076923076927</v>
      </c>
      <c r="T54" s="30">
        <f>+R54/$Q54</f>
        <v>1</v>
      </c>
      <c r="U54" s="123" t="s">
        <v>115</v>
      </c>
      <c r="V54" s="723">
        <v>0.56999999999999995</v>
      </c>
      <c r="W54" s="32">
        <f>+D54</f>
        <v>0.56999999999999995</v>
      </c>
      <c r="X54" s="168">
        <f t="shared" si="20"/>
        <v>0.52800000000000002</v>
      </c>
      <c r="Y54" s="168">
        <f t="shared" si="21"/>
        <v>0.52800000000000002</v>
      </c>
      <c r="Z54" s="30">
        <f>(E54-X54)/(E54-V54)</f>
        <v>0.54347826086956585</v>
      </c>
      <c r="AA54" s="30">
        <f>+(E54-Y54)/(E54-W54)</f>
        <v>0.54347826086956585</v>
      </c>
      <c r="AB54" s="168">
        <f t="shared" si="17"/>
        <v>0.54347826086956585</v>
      </c>
      <c r="AC54" s="715" t="s">
        <v>375</v>
      </c>
    </row>
    <row r="55" spans="1:29" x14ac:dyDescent="0.25">
      <c r="A55" s="4" t="s">
        <v>55</v>
      </c>
      <c r="B55" s="54" t="s">
        <v>177</v>
      </c>
      <c r="C55" s="57" t="s">
        <v>204</v>
      </c>
      <c r="D55" s="29">
        <v>400000</v>
      </c>
      <c r="E55" s="29">
        <v>546631</v>
      </c>
      <c r="F55" s="702">
        <v>92888</v>
      </c>
      <c r="G55" s="16">
        <v>72898</v>
      </c>
      <c r="H55" s="123">
        <f>+G55/F55</f>
        <v>0.78479459133580221</v>
      </c>
      <c r="I55" s="161">
        <v>185776</v>
      </c>
      <c r="J55" s="42">
        <v>185776</v>
      </c>
      <c r="K55" s="29">
        <v>173782</v>
      </c>
      <c r="L55" s="16">
        <v>173782</v>
      </c>
      <c r="M55" s="437">
        <f>+K55/I55</f>
        <v>0.93543837740074065</v>
      </c>
      <c r="N55" s="442">
        <f>+L55/$K55</f>
        <v>1</v>
      </c>
      <c r="O55" s="56">
        <v>278664</v>
      </c>
      <c r="P55" s="27">
        <v>278664</v>
      </c>
      <c r="Q55" s="103">
        <v>225662</v>
      </c>
      <c r="R55" s="103">
        <v>225662</v>
      </c>
      <c r="S55" s="30">
        <f>+Q55/O55</f>
        <v>0.80979961530732347</v>
      </c>
      <c r="T55" s="30">
        <f>+R55/$Q55</f>
        <v>1</v>
      </c>
      <c r="U55" s="123" t="s">
        <v>115</v>
      </c>
      <c r="V55" s="717">
        <v>400000</v>
      </c>
      <c r="W55" s="29">
        <f>+D55</f>
        <v>400000</v>
      </c>
      <c r="X55" s="165">
        <f>+R55</f>
        <v>225662</v>
      </c>
      <c r="Y55" s="165">
        <f t="shared" si="21"/>
        <v>225662</v>
      </c>
      <c r="Z55" s="281">
        <f>+X55/V55</f>
        <v>0.56415499999999996</v>
      </c>
      <c r="AA55" s="30">
        <f>+Y55/W55</f>
        <v>0.56415499999999996</v>
      </c>
      <c r="AB55" s="168">
        <f t="shared" si="17"/>
        <v>0.56415499999999996</v>
      </c>
      <c r="AC55" s="715" t="s">
        <v>375</v>
      </c>
    </row>
    <row r="56" spans="1:29" ht="30" x14ac:dyDescent="0.25">
      <c r="A56" s="4" t="s">
        <v>56</v>
      </c>
      <c r="B56" s="54" t="s">
        <v>177</v>
      </c>
      <c r="C56" s="57" t="s">
        <v>205</v>
      </c>
      <c r="D56" s="29">
        <v>33</v>
      </c>
      <c r="E56" s="200">
        <v>25</v>
      </c>
      <c r="F56" s="702">
        <v>27</v>
      </c>
      <c r="G56" s="16">
        <v>26</v>
      </c>
      <c r="H56" s="123">
        <f>+G56/F56</f>
        <v>0.96296296296296291</v>
      </c>
      <c r="I56" s="161">
        <v>29</v>
      </c>
      <c r="J56" s="42">
        <v>29</v>
      </c>
      <c r="K56" s="29">
        <v>25</v>
      </c>
      <c r="L56" s="11">
        <v>25</v>
      </c>
      <c r="M56" s="30">
        <f>+K56/I56</f>
        <v>0.86206896551724133</v>
      </c>
      <c r="N56" s="123">
        <f>+L56/$K56</f>
        <v>1</v>
      </c>
      <c r="O56" s="56">
        <v>31</v>
      </c>
      <c r="P56" s="27">
        <v>31</v>
      </c>
      <c r="Q56" s="57">
        <v>26</v>
      </c>
      <c r="R56" s="57">
        <v>26</v>
      </c>
      <c r="S56" s="30">
        <f>+Q56/O56</f>
        <v>0.83870967741935487</v>
      </c>
      <c r="T56" s="30">
        <f>+R56/$Q56</f>
        <v>1</v>
      </c>
      <c r="U56" s="123" t="s">
        <v>115</v>
      </c>
      <c r="V56" s="730">
        <v>33</v>
      </c>
      <c r="W56" s="29">
        <f>+D56</f>
        <v>33</v>
      </c>
      <c r="X56" s="165">
        <f>+Q56</f>
        <v>26</v>
      </c>
      <c r="Y56" s="165">
        <f t="shared" si="21"/>
        <v>26</v>
      </c>
      <c r="Z56" s="30">
        <f>+X56/V56</f>
        <v>0.78787878787878785</v>
      </c>
      <c r="AA56" s="30">
        <f>+Y56/W56</f>
        <v>0.78787878787878785</v>
      </c>
      <c r="AB56" s="168">
        <f t="shared" si="17"/>
        <v>0.78787878787878785</v>
      </c>
      <c r="AC56" s="715" t="s">
        <v>375</v>
      </c>
    </row>
    <row r="57" spans="1:29" ht="30" x14ac:dyDescent="0.25">
      <c r="A57" s="4" t="s">
        <v>57</v>
      </c>
      <c r="B57" s="54" t="s">
        <v>177</v>
      </c>
      <c r="C57" s="57" t="s">
        <v>186</v>
      </c>
      <c r="D57" s="32">
        <v>0.08</v>
      </c>
      <c r="E57" s="32">
        <v>0.10100000000000001</v>
      </c>
      <c r="F57" s="51">
        <v>9.7000000000000003E-2</v>
      </c>
      <c r="G57" s="32">
        <v>9.2999999999999999E-2</v>
      </c>
      <c r="H57" s="123">
        <f>(E57-G57)/(E57-F57)</f>
        <v>2</v>
      </c>
      <c r="I57" s="181">
        <v>9.0999999999999998E-2</v>
      </c>
      <c r="J57" s="40">
        <v>9.0999999999999998E-2</v>
      </c>
      <c r="K57" s="32">
        <v>9.0300000000000005E-2</v>
      </c>
      <c r="L57" s="32">
        <v>9.0300000000000005E-2</v>
      </c>
      <c r="M57" s="30">
        <f>+(E57-K57)/(E57-I57)</f>
        <v>1.0699999999999992</v>
      </c>
      <c r="N57" s="123">
        <f>+(E57-L57)/(E57-D57)</f>
        <v>0.50952380952380949</v>
      </c>
      <c r="O57" s="125">
        <v>8.5999999999999993E-2</v>
      </c>
      <c r="P57" s="31">
        <v>8.5999999999999993E-2</v>
      </c>
      <c r="Q57" s="40">
        <f>+L57</f>
        <v>9.0300000000000005E-2</v>
      </c>
      <c r="R57" s="40">
        <f>+Q57</f>
        <v>9.0300000000000005E-2</v>
      </c>
      <c r="S57" s="30">
        <f>+(E57-Q57)/(E57-O57)</f>
        <v>0.71333333333333282</v>
      </c>
      <c r="T57" s="30">
        <f>(E57-R57)/(E57-P57)</f>
        <v>0.71333333333333282</v>
      </c>
      <c r="U57" s="123" t="s">
        <v>312</v>
      </c>
      <c r="V57" s="723">
        <v>0.08</v>
      </c>
      <c r="W57" s="32">
        <f>+D57</f>
        <v>0.08</v>
      </c>
      <c r="X57" s="168">
        <f>+Q57</f>
        <v>9.0300000000000005E-2</v>
      </c>
      <c r="Y57" s="168">
        <f t="shared" si="21"/>
        <v>9.0300000000000005E-2</v>
      </c>
      <c r="Z57" s="30">
        <f>(E57-X57)/(E57-V57)</f>
        <v>0.50952380952380949</v>
      </c>
      <c r="AA57" s="30">
        <f>+(E57-Y57)/(E57-W57)</f>
        <v>0.50952380952380949</v>
      </c>
      <c r="AB57" s="168">
        <f t="shared" si="17"/>
        <v>0.50952380952380949</v>
      </c>
      <c r="AC57" s="715" t="s">
        <v>376</v>
      </c>
    </row>
    <row r="58" spans="1:29" ht="30" x14ac:dyDescent="0.25">
      <c r="A58" s="4" t="s">
        <v>181</v>
      </c>
      <c r="B58" s="54" t="s">
        <v>180</v>
      </c>
      <c r="C58" s="57" t="s">
        <v>193</v>
      </c>
      <c r="D58" s="29">
        <v>125000</v>
      </c>
      <c r="E58" s="200">
        <v>23067</v>
      </c>
      <c r="F58" s="702">
        <v>18347</v>
      </c>
      <c r="G58" s="16">
        <v>20313</v>
      </c>
      <c r="H58" s="123">
        <f>+G58/F58</f>
        <v>1.1071564833487764</v>
      </c>
      <c r="I58" s="161">
        <v>34287</v>
      </c>
      <c r="J58" s="42">
        <f>+F58+I58</f>
        <v>52634</v>
      </c>
      <c r="K58" s="29">
        <v>22252</v>
      </c>
      <c r="L58" s="16">
        <f>+G58+K58</f>
        <v>42565</v>
      </c>
      <c r="M58" s="30">
        <f>+K58/I58</f>
        <v>0.64899232945431218</v>
      </c>
      <c r="N58" s="123">
        <f>+L58/$K58</f>
        <v>1.9128617652345856</v>
      </c>
      <c r="O58" s="56">
        <v>36183</v>
      </c>
      <c r="P58" s="27">
        <f>+O58+J58</f>
        <v>88817</v>
      </c>
      <c r="Q58" s="63">
        <v>23777</v>
      </c>
      <c r="R58" s="63">
        <f>+L58+Q58</f>
        <v>66342</v>
      </c>
      <c r="S58" s="30">
        <f>+Q58/O58</f>
        <v>0.6571318022275654</v>
      </c>
      <c r="T58" s="30">
        <f t="shared" ref="T58:T65" si="23">+R58/$Q58</f>
        <v>2.7901753795684905</v>
      </c>
      <c r="U58" s="123" t="s">
        <v>115</v>
      </c>
      <c r="V58" s="717">
        <v>36183</v>
      </c>
      <c r="W58" s="29">
        <f>+P58+V58</f>
        <v>125000</v>
      </c>
      <c r="X58" s="165">
        <v>11267</v>
      </c>
      <c r="Y58" s="165">
        <f>+R58+X58</f>
        <v>77609</v>
      </c>
      <c r="Z58" s="30">
        <f>+X58/V58</f>
        <v>0.31138932647928586</v>
      </c>
      <c r="AA58" s="30">
        <f>+Y58/W58</f>
        <v>0.62087199999999998</v>
      </c>
      <c r="AB58" s="168">
        <f t="shared" si="17"/>
        <v>0.62087199999999998</v>
      </c>
      <c r="AC58" s="715" t="s">
        <v>418</v>
      </c>
    </row>
    <row r="59" spans="1:29" ht="45" x14ac:dyDescent="0.25">
      <c r="A59" s="4" t="s">
        <v>59</v>
      </c>
      <c r="B59" s="54" t="s">
        <v>180</v>
      </c>
      <c r="C59" s="57" t="s">
        <v>183</v>
      </c>
      <c r="D59" s="32">
        <v>0.6</v>
      </c>
      <c r="E59" s="168">
        <v>0.39</v>
      </c>
      <c r="F59" s="51">
        <v>0.45</v>
      </c>
      <c r="G59" s="32">
        <v>0.91600000000000004</v>
      </c>
      <c r="H59" s="123">
        <f>+G59/F59</f>
        <v>2.0355555555555558</v>
      </c>
      <c r="I59" s="181">
        <v>0.5</v>
      </c>
      <c r="J59" s="40">
        <v>0.5</v>
      </c>
      <c r="K59" s="32">
        <v>0.43740000000000001</v>
      </c>
      <c r="L59" s="31">
        <v>0.4374377507754475</v>
      </c>
      <c r="M59" s="437">
        <f>+K59/I59</f>
        <v>0.87480000000000002</v>
      </c>
      <c r="N59" s="442">
        <f>+L59/$K59</f>
        <v>1.0000863072141004</v>
      </c>
      <c r="O59" s="125">
        <v>0.55000000000000004</v>
      </c>
      <c r="P59" s="31">
        <v>0.55000000000000004</v>
      </c>
      <c r="Q59" s="52">
        <v>0.40200000000000002</v>
      </c>
      <c r="R59" s="52">
        <v>0.40200000000000002</v>
      </c>
      <c r="S59" s="30">
        <f>+Q59/O59</f>
        <v>0.73090909090909084</v>
      </c>
      <c r="T59" s="30">
        <f t="shared" si="23"/>
        <v>1</v>
      </c>
      <c r="U59" s="123" t="s">
        <v>115</v>
      </c>
      <c r="V59" s="723">
        <v>0.6</v>
      </c>
      <c r="W59" s="32">
        <f>+D59</f>
        <v>0.6</v>
      </c>
      <c r="X59" s="168">
        <v>0.99950000000000006</v>
      </c>
      <c r="Y59" s="168">
        <f t="shared" ref="Y59:Y64" si="24">+X59</f>
        <v>0.99950000000000006</v>
      </c>
      <c r="Z59" s="281">
        <f>+X59/V59</f>
        <v>1.6658333333333335</v>
      </c>
      <c r="AA59" s="30">
        <f>+Y59/W59</f>
        <v>1.6658333333333335</v>
      </c>
      <c r="AB59" s="168">
        <f t="shared" si="17"/>
        <v>1.6658333333333335</v>
      </c>
      <c r="AC59" s="731" t="s">
        <v>418</v>
      </c>
    </row>
    <row r="60" spans="1:29" x14ac:dyDescent="0.25">
      <c r="A60" s="4" t="s">
        <v>60</v>
      </c>
      <c r="B60" s="54" t="s">
        <v>177</v>
      </c>
      <c r="C60" s="57" t="s">
        <v>198</v>
      </c>
      <c r="D60" s="29">
        <v>11638</v>
      </c>
      <c r="E60" s="200">
        <v>8893</v>
      </c>
      <c r="F60" s="702">
        <v>9500</v>
      </c>
      <c r="G60" s="16">
        <v>9477</v>
      </c>
      <c r="H60" s="123">
        <f>+(G60-E60)/(F60-E60)</f>
        <v>0.96210873146622733</v>
      </c>
      <c r="I60" s="161">
        <v>10216</v>
      </c>
      <c r="J60" s="42">
        <v>10216</v>
      </c>
      <c r="K60" s="29">
        <v>10843</v>
      </c>
      <c r="L60" s="65">
        <v>10843</v>
      </c>
      <c r="M60" s="30">
        <f>+(K60-E60)/(I60-E60)</f>
        <v>1.473922902494331</v>
      </c>
      <c r="N60" s="30">
        <f>+(L60-E60)/(D60-E60)</f>
        <v>0.7103825136612022</v>
      </c>
      <c r="O60" s="161">
        <v>10932</v>
      </c>
      <c r="P60" s="27">
        <f>+O60</f>
        <v>10932</v>
      </c>
      <c r="Q60" s="575">
        <v>13415</v>
      </c>
      <c r="R60" s="575">
        <f>+Q60</f>
        <v>13415</v>
      </c>
      <c r="S60" s="281">
        <f>+(Q60-E60)/(O60-E60)</f>
        <v>2.2177538008827855</v>
      </c>
      <c r="T60" s="30">
        <f t="shared" si="23"/>
        <v>1</v>
      </c>
      <c r="U60" s="123" t="s">
        <v>115</v>
      </c>
      <c r="V60" s="732">
        <v>11638</v>
      </c>
      <c r="W60" s="29">
        <f>+V60</f>
        <v>11638</v>
      </c>
      <c r="X60" s="165">
        <f>+Q60</f>
        <v>13415</v>
      </c>
      <c r="Y60" s="165">
        <f t="shared" si="24"/>
        <v>13415</v>
      </c>
      <c r="Z60" s="30">
        <f>+(X60-E60)/(V60-E60)</f>
        <v>1.6473588342440801</v>
      </c>
      <c r="AA60" s="30">
        <f>+(Y60-E60)/(W60-E60)</f>
        <v>1.6473588342440801</v>
      </c>
      <c r="AB60" s="168">
        <f t="shared" si="17"/>
        <v>1.6473588342440801</v>
      </c>
      <c r="AC60" s="715" t="s">
        <v>375</v>
      </c>
    </row>
    <row r="61" spans="1:29" ht="45" x14ac:dyDescent="0.25">
      <c r="A61" s="4" t="s">
        <v>61</v>
      </c>
      <c r="B61" s="54" t="s">
        <v>177</v>
      </c>
      <c r="C61" s="57" t="s">
        <v>206</v>
      </c>
      <c r="D61" s="29">
        <v>25</v>
      </c>
      <c r="E61" s="200">
        <v>0</v>
      </c>
      <c r="F61" s="702">
        <v>4</v>
      </c>
      <c r="G61" s="16">
        <v>12</v>
      </c>
      <c r="H61" s="123">
        <f>+(G61-E61)/(F61-E61)</f>
        <v>3</v>
      </c>
      <c r="I61" s="161">
        <v>12</v>
      </c>
      <c r="J61" s="42">
        <v>12</v>
      </c>
      <c r="K61" s="29">
        <v>24</v>
      </c>
      <c r="L61" s="11">
        <v>24</v>
      </c>
      <c r="M61" s="30">
        <f>+(K61-E61)/(I61-E61)</f>
        <v>2</v>
      </c>
      <c r="N61" s="30">
        <f>+(L61-E61)/(D61-E61)</f>
        <v>0.96</v>
      </c>
      <c r="O61" s="161">
        <v>20</v>
      </c>
      <c r="P61" s="27">
        <v>20</v>
      </c>
      <c r="Q61" s="575">
        <f>+K61</f>
        <v>24</v>
      </c>
      <c r="R61" s="575">
        <f>+Q61</f>
        <v>24</v>
      </c>
      <c r="S61" s="281">
        <f>+(Q61-E61)/(O61-E61)</f>
        <v>1.2</v>
      </c>
      <c r="T61" s="30">
        <f t="shared" si="23"/>
        <v>1</v>
      </c>
      <c r="U61" s="123" t="s">
        <v>313</v>
      </c>
      <c r="V61" s="733">
        <v>25</v>
      </c>
      <c r="W61" s="29">
        <f>+D61</f>
        <v>25</v>
      </c>
      <c r="X61" s="165">
        <f>+Q61</f>
        <v>24</v>
      </c>
      <c r="Y61" s="165">
        <f t="shared" si="24"/>
        <v>24</v>
      </c>
      <c r="Z61" s="30">
        <f>(E61-X61)/(E61-V61)</f>
        <v>0.96</v>
      </c>
      <c r="AA61" s="30">
        <f>+(E61-Y61)/(E61-W61)</f>
        <v>0.96</v>
      </c>
      <c r="AB61" s="168">
        <f>+AA61</f>
        <v>0.96</v>
      </c>
      <c r="AC61" s="715" t="s">
        <v>376</v>
      </c>
    </row>
    <row r="62" spans="1:29" ht="30" x14ac:dyDescent="0.25">
      <c r="A62" s="4" t="s">
        <v>62</v>
      </c>
      <c r="B62" s="54" t="s">
        <v>177</v>
      </c>
      <c r="C62" s="57" t="s">
        <v>207</v>
      </c>
      <c r="D62" s="29">
        <v>40000</v>
      </c>
      <c r="E62" s="200">
        <v>82723</v>
      </c>
      <c r="F62" s="702">
        <v>8000</v>
      </c>
      <c r="G62" s="16">
        <v>28058</v>
      </c>
      <c r="H62" s="123">
        <f>+G62/F62</f>
        <v>3.50725</v>
      </c>
      <c r="I62" s="161">
        <v>17500</v>
      </c>
      <c r="J62" s="42">
        <v>17500</v>
      </c>
      <c r="K62" s="29">
        <v>55022</v>
      </c>
      <c r="L62" s="27">
        <v>55022</v>
      </c>
      <c r="M62" s="437">
        <f>+K62/I62</f>
        <v>3.1441142857142856</v>
      </c>
      <c r="N62" s="442">
        <f>+L62/$K62</f>
        <v>1</v>
      </c>
      <c r="O62" s="56">
        <v>28500</v>
      </c>
      <c r="P62" s="27">
        <v>28500</v>
      </c>
      <c r="Q62" s="581">
        <v>87229</v>
      </c>
      <c r="R62" s="581">
        <f>+Q62</f>
        <v>87229</v>
      </c>
      <c r="S62" s="30">
        <f>+Q62/O62</f>
        <v>3.0606666666666666</v>
      </c>
      <c r="T62" s="30">
        <f t="shared" si="23"/>
        <v>1</v>
      </c>
      <c r="U62" s="123" t="s">
        <v>115</v>
      </c>
      <c r="V62" s="717">
        <v>40000</v>
      </c>
      <c r="W62" s="29">
        <f>+D62</f>
        <v>40000</v>
      </c>
      <c r="X62" s="165">
        <f>+R62</f>
        <v>87229</v>
      </c>
      <c r="Y62" s="165">
        <f t="shared" si="24"/>
        <v>87229</v>
      </c>
      <c r="Z62" s="281">
        <f>+X62/V62</f>
        <v>2.1807249999999998</v>
      </c>
      <c r="AA62" s="30">
        <f>+Y62/W62</f>
        <v>2.1807249999999998</v>
      </c>
      <c r="AB62" s="168">
        <f t="shared" ref="AB62:AB79" si="25">+AA62</f>
        <v>2.1807249999999998</v>
      </c>
      <c r="AC62" s="715" t="s">
        <v>375</v>
      </c>
    </row>
    <row r="63" spans="1:29" ht="30" x14ac:dyDescent="0.25">
      <c r="A63" s="4" t="s">
        <v>63</v>
      </c>
      <c r="B63" s="54" t="s">
        <v>177</v>
      </c>
      <c r="C63" s="57" t="s">
        <v>204</v>
      </c>
      <c r="D63" s="29">
        <v>7000</v>
      </c>
      <c r="E63" s="200">
        <v>14623</v>
      </c>
      <c r="F63" s="702">
        <v>1000</v>
      </c>
      <c r="G63" s="16">
        <v>4633</v>
      </c>
      <c r="H63" s="123">
        <f>+G63/F63</f>
        <v>4.633</v>
      </c>
      <c r="I63" s="161">
        <v>3000</v>
      </c>
      <c r="J63" s="42">
        <v>3000</v>
      </c>
      <c r="K63" s="29">
        <v>5117</v>
      </c>
      <c r="L63" s="27">
        <v>5117</v>
      </c>
      <c r="M63" s="437">
        <f>+K63/I63</f>
        <v>1.7056666666666667</v>
      </c>
      <c r="N63" s="442">
        <f>+L63/$K63</f>
        <v>1</v>
      </c>
      <c r="O63" s="56">
        <v>5000</v>
      </c>
      <c r="P63" s="27">
        <v>5000</v>
      </c>
      <c r="Q63" s="581">
        <v>3244</v>
      </c>
      <c r="R63" s="581">
        <f>+Q63</f>
        <v>3244</v>
      </c>
      <c r="S63" s="30">
        <f>+Q63/O63</f>
        <v>0.64880000000000004</v>
      </c>
      <c r="T63" s="30">
        <f t="shared" si="23"/>
        <v>1</v>
      </c>
      <c r="U63" s="123" t="s">
        <v>115</v>
      </c>
      <c r="V63" s="717">
        <v>7000</v>
      </c>
      <c r="W63" s="29">
        <f>+D63</f>
        <v>7000</v>
      </c>
      <c r="X63" s="165">
        <f>+R63</f>
        <v>3244</v>
      </c>
      <c r="Y63" s="165">
        <f t="shared" si="24"/>
        <v>3244</v>
      </c>
      <c r="Z63" s="281">
        <f>+X63/V63</f>
        <v>0.46342857142857141</v>
      </c>
      <c r="AA63" s="30">
        <f>+Y63/W63</f>
        <v>0.46342857142857141</v>
      </c>
      <c r="AB63" s="168">
        <f t="shared" si="25"/>
        <v>0.46342857142857141</v>
      </c>
      <c r="AC63" s="715" t="s">
        <v>375</v>
      </c>
    </row>
    <row r="64" spans="1:29" ht="30" x14ac:dyDescent="0.25">
      <c r="A64" s="4" t="s">
        <v>64</v>
      </c>
      <c r="B64" s="54" t="s">
        <v>177</v>
      </c>
      <c r="C64" s="57" t="s">
        <v>207</v>
      </c>
      <c r="D64" s="29">
        <v>4004</v>
      </c>
      <c r="E64" s="200">
        <v>2709</v>
      </c>
      <c r="F64" s="702">
        <v>3227</v>
      </c>
      <c r="G64" s="16">
        <v>3321</v>
      </c>
      <c r="H64" s="123">
        <f>+(G64-E64)/(F64-E64)</f>
        <v>1.1814671814671815</v>
      </c>
      <c r="I64" s="161">
        <v>3486</v>
      </c>
      <c r="J64" s="42">
        <v>3486</v>
      </c>
      <c r="K64" s="29">
        <v>7536</v>
      </c>
      <c r="L64" s="27">
        <v>7536</v>
      </c>
      <c r="M64" s="30">
        <f>+(K64-E64)/(I64-E64)</f>
        <v>6.2123552123552122</v>
      </c>
      <c r="N64" s="30">
        <f>+(L64-E64)/(D64-E64)</f>
        <v>3.7274131274131275</v>
      </c>
      <c r="O64" s="161">
        <v>3745</v>
      </c>
      <c r="P64" s="27">
        <v>3745</v>
      </c>
      <c r="Q64" s="581">
        <v>12456</v>
      </c>
      <c r="R64" s="581">
        <f>+Q64</f>
        <v>12456</v>
      </c>
      <c r="S64" s="281">
        <f>+(Q64-E64)/(O64-E64)</f>
        <v>9.4083011583011587</v>
      </c>
      <c r="T64" s="30">
        <f t="shared" si="23"/>
        <v>1</v>
      </c>
      <c r="U64" s="123" t="s">
        <v>115</v>
      </c>
      <c r="V64" s="717">
        <v>4004</v>
      </c>
      <c r="W64" s="29">
        <f>+D64</f>
        <v>4004</v>
      </c>
      <c r="X64" s="165">
        <f>+Q64</f>
        <v>12456</v>
      </c>
      <c r="Y64" s="165">
        <f t="shared" si="24"/>
        <v>12456</v>
      </c>
      <c r="Z64" s="30">
        <f>(E64-X64)/(E64-V64)</f>
        <v>7.5266409266409262</v>
      </c>
      <c r="AA64" s="30">
        <f>+(E64-Y64)/(E64-W64)</f>
        <v>7.5266409266409262</v>
      </c>
      <c r="AB64" s="168">
        <f t="shared" si="25"/>
        <v>7.5266409266409262</v>
      </c>
      <c r="AC64" s="715" t="s">
        <v>375</v>
      </c>
    </row>
    <row r="65" spans="1:29" ht="60" x14ac:dyDescent="0.25">
      <c r="A65" s="4" t="s">
        <v>65</v>
      </c>
      <c r="B65" s="54" t="s">
        <v>177</v>
      </c>
      <c r="C65" s="57" t="s">
        <v>193</v>
      </c>
      <c r="D65" s="29">
        <v>40000</v>
      </c>
      <c r="E65" s="200">
        <v>0</v>
      </c>
      <c r="F65" s="702">
        <v>10000</v>
      </c>
      <c r="G65" s="16">
        <v>10141</v>
      </c>
      <c r="H65" s="123">
        <f>+G65/F65</f>
        <v>1.0141</v>
      </c>
      <c r="I65" s="161">
        <v>10000</v>
      </c>
      <c r="J65" s="42">
        <f>+F65+I65</f>
        <v>20000</v>
      </c>
      <c r="K65" s="29">
        <v>12730</v>
      </c>
      <c r="L65" s="439">
        <f>+G65+K65</f>
        <v>22871</v>
      </c>
      <c r="M65" s="438">
        <f>+K65/I65</f>
        <v>1.2729999999999999</v>
      </c>
      <c r="N65" s="442">
        <f>+L65/$K65</f>
        <v>1.7966221523959152</v>
      </c>
      <c r="O65" s="56">
        <v>10000</v>
      </c>
      <c r="P65" s="27">
        <f>+J65+O65</f>
        <v>30000</v>
      </c>
      <c r="Q65" s="66">
        <v>9083</v>
      </c>
      <c r="R65" s="63">
        <f>+L65+Q65</f>
        <v>31954</v>
      </c>
      <c r="S65" s="30">
        <f>+Q65/O65</f>
        <v>0.9083</v>
      </c>
      <c r="T65" s="30">
        <f t="shared" si="23"/>
        <v>3.5180006605747001</v>
      </c>
      <c r="U65" s="123" t="s">
        <v>115</v>
      </c>
      <c r="V65" s="717">
        <v>10000</v>
      </c>
      <c r="W65" s="29">
        <f>+P65+V65</f>
        <v>40000</v>
      </c>
      <c r="X65" s="467">
        <v>8029</v>
      </c>
      <c r="Y65" s="467">
        <f>+R65</f>
        <v>31954</v>
      </c>
      <c r="Z65" s="30">
        <f>+X65/V65</f>
        <v>0.80289999999999995</v>
      </c>
      <c r="AA65" s="32">
        <f>+Y65/W65</f>
        <v>0.79884999999999995</v>
      </c>
      <c r="AB65" s="168">
        <f t="shared" si="25"/>
        <v>0.79884999999999995</v>
      </c>
      <c r="AC65" s="734" t="s">
        <v>413</v>
      </c>
    </row>
    <row r="66" spans="1:29" x14ac:dyDescent="0.25">
      <c r="A66" s="4" t="s">
        <v>66</v>
      </c>
      <c r="B66" s="54" t="s">
        <v>177</v>
      </c>
      <c r="C66" s="57" t="s">
        <v>186</v>
      </c>
      <c r="D66" s="32">
        <v>0.05</v>
      </c>
      <c r="E66" s="168">
        <v>0</v>
      </c>
      <c r="F66" s="706">
        <v>0.05</v>
      </c>
      <c r="G66" s="32">
        <v>1.9E-2</v>
      </c>
      <c r="H66" s="123">
        <v>1</v>
      </c>
      <c r="I66" s="226">
        <v>0.05</v>
      </c>
      <c r="J66" s="707">
        <v>0.05</v>
      </c>
      <c r="K66" s="32">
        <v>1.34E-2</v>
      </c>
      <c r="L66" s="31">
        <v>1.34E-2</v>
      </c>
      <c r="M66" s="30">
        <v>1</v>
      </c>
      <c r="N66" s="123">
        <v>1</v>
      </c>
      <c r="O66" s="125">
        <v>0.05</v>
      </c>
      <c r="P66" s="31">
        <v>0.05</v>
      </c>
      <c r="Q66" s="40">
        <v>2.4299999999999999E-2</v>
      </c>
      <c r="R66" s="40">
        <v>2.4299999999999999E-2</v>
      </c>
      <c r="S66" s="30">
        <v>1</v>
      </c>
      <c r="T66" s="30">
        <v>1</v>
      </c>
      <c r="U66" s="123" t="s">
        <v>115</v>
      </c>
      <c r="V66" s="723">
        <v>0.05</v>
      </c>
      <c r="W66" s="708">
        <f>+D66</f>
        <v>0.05</v>
      </c>
      <c r="X66" s="168">
        <f>+Q66</f>
        <v>2.4299999999999999E-2</v>
      </c>
      <c r="Y66" s="168">
        <f>+X66</f>
        <v>2.4299999999999999E-2</v>
      </c>
      <c r="Z66" s="30">
        <v>1</v>
      </c>
      <c r="AA66" s="30">
        <v>1</v>
      </c>
      <c r="AB66" s="168">
        <f t="shared" si="25"/>
        <v>1</v>
      </c>
      <c r="AC66" s="715" t="s">
        <v>375</v>
      </c>
    </row>
    <row r="67" spans="1:29" ht="30" x14ac:dyDescent="0.25">
      <c r="A67" s="4" t="s">
        <v>67</v>
      </c>
      <c r="B67" s="54" t="s">
        <v>177</v>
      </c>
      <c r="C67" s="57" t="s">
        <v>204</v>
      </c>
      <c r="D67" s="29">
        <v>20</v>
      </c>
      <c r="E67" s="200">
        <v>0</v>
      </c>
      <c r="F67" s="702">
        <v>2</v>
      </c>
      <c r="G67" s="29">
        <v>0</v>
      </c>
      <c r="H67" s="123">
        <f>+G67/F67</f>
        <v>0</v>
      </c>
      <c r="I67" s="161">
        <v>4</v>
      </c>
      <c r="J67" s="42">
        <f>+F67+I67</f>
        <v>6</v>
      </c>
      <c r="K67" s="29">
        <f>+L67-G67</f>
        <v>0</v>
      </c>
      <c r="L67" s="11">
        <v>0</v>
      </c>
      <c r="M67" s="437">
        <f>+K67/I67</f>
        <v>0</v>
      </c>
      <c r="N67" s="442" t="e">
        <f>+L67/$K67</f>
        <v>#DIV/0!</v>
      </c>
      <c r="O67" s="56">
        <v>6</v>
      </c>
      <c r="P67" s="27">
        <v>6</v>
      </c>
      <c r="Q67" s="54">
        <v>10</v>
      </c>
      <c r="R67" s="63">
        <f>+L67+Q67</f>
        <v>10</v>
      </c>
      <c r="S67" s="30">
        <f>+Q67/O67</f>
        <v>1.6666666666666667</v>
      </c>
      <c r="T67" s="30">
        <f>+R67/$Q67</f>
        <v>1</v>
      </c>
      <c r="U67" s="123" t="s">
        <v>115</v>
      </c>
      <c r="V67" s="717">
        <v>8</v>
      </c>
      <c r="W67" s="29">
        <f>+F67+I67+O67+V67</f>
        <v>20</v>
      </c>
      <c r="X67" s="165">
        <v>0</v>
      </c>
      <c r="Y67" s="165">
        <f>+R67+X67</f>
        <v>10</v>
      </c>
      <c r="Z67" s="30">
        <f>+X67/V67</f>
        <v>0</v>
      </c>
      <c r="AA67" s="30">
        <f>+Y67/W67</f>
        <v>0.5</v>
      </c>
      <c r="AB67" s="168">
        <f t="shared" si="25"/>
        <v>0.5</v>
      </c>
      <c r="AC67" s="715" t="s">
        <v>375</v>
      </c>
    </row>
    <row r="68" spans="1:29" ht="75" x14ac:dyDescent="0.25">
      <c r="A68" s="4" t="s">
        <v>306</v>
      </c>
      <c r="B68" s="54" t="s">
        <v>177</v>
      </c>
      <c r="C68" s="57" t="s">
        <v>183</v>
      </c>
      <c r="D68" s="38">
        <v>1</v>
      </c>
      <c r="E68" s="168">
        <v>0</v>
      </c>
      <c r="F68" s="703">
        <v>0</v>
      </c>
      <c r="G68" s="435">
        <v>0</v>
      </c>
      <c r="H68" s="143" t="str">
        <f>IFERROR((G68-E68)/(F68-E68),"N/A")</f>
        <v>N/A</v>
      </c>
      <c r="I68" s="158">
        <f>+J68-F68</f>
        <v>0.35</v>
      </c>
      <c r="J68" s="40">
        <v>0.35</v>
      </c>
      <c r="K68" s="32">
        <f>+L68-G68</f>
        <v>0.54500000000000004</v>
      </c>
      <c r="L68" s="41">
        <v>0.54500000000000004</v>
      </c>
      <c r="M68" s="30">
        <f>+(K68-E68)/(I68-E68)</f>
        <v>1.5571428571428574</v>
      </c>
      <c r="N68" s="30">
        <f>+(L68-E68)/(D68-E68)</f>
        <v>0.54500000000000004</v>
      </c>
      <c r="O68" s="158">
        <v>0.7</v>
      </c>
      <c r="P68" s="40">
        <v>0.7</v>
      </c>
      <c r="Q68" s="40">
        <v>0.6</v>
      </c>
      <c r="R68" s="40">
        <v>0.6</v>
      </c>
      <c r="S68" s="281">
        <f>+(Q68-E68)/(O68-E68)</f>
        <v>0.85714285714285721</v>
      </c>
      <c r="T68" s="30">
        <f>+R68/$Q68</f>
        <v>1</v>
      </c>
      <c r="U68" s="123" t="s">
        <v>115</v>
      </c>
      <c r="V68" s="716">
        <v>1</v>
      </c>
      <c r="W68" s="38">
        <f>+D68</f>
        <v>1</v>
      </c>
      <c r="X68" s="176">
        <f>+Q68</f>
        <v>0.6</v>
      </c>
      <c r="Y68" s="176">
        <f>+X68</f>
        <v>0.6</v>
      </c>
      <c r="Z68" s="30">
        <f>(E68-X68)/(E68-V68)</f>
        <v>0.6</v>
      </c>
      <c r="AA68" s="30">
        <f>+(E68-Y68)/(E68-W68)</f>
        <v>0.6</v>
      </c>
      <c r="AB68" s="168">
        <f t="shared" si="25"/>
        <v>0.6</v>
      </c>
      <c r="AC68" s="715" t="s">
        <v>375</v>
      </c>
    </row>
    <row r="69" spans="1:29" ht="45" x14ac:dyDescent="0.25">
      <c r="A69" s="4" t="s">
        <v>69</v>
      </c>
      <c r="B69" s="54" t="s">
        <v>177</v>
      </c>
      <c r="C69" s="57" t="s">
        <v>183</v>
      </c>
      <c r="D69" s="38">
        <v>1</v>
      </c>
      <c r="E69" s="205">
        <v>0</v>
      </c>
      <c r="F69" s="703">
        <v>0.05</v>
      </c>
      <c r="G69" s="41">
        <v>0.05</v>
      </c>
      <c r="H69" s="123">
        <f>+(G69-E69)/(F69-E69)</f>
        <v>1</v>
      </c>
      <c r="I69" s="158">
        <v>0.3</v>
      </c>
      <c r="J69" s="40">
        <v>0.3</v>
      </c>
      <c r="K69" s="32">
        <v>0.15</v>
      </c>
      <c r="L69" s="41">
        <v>0.15</v>
      </c>
      <c r="M69" s="30">
        <f>+(K69-E69)/(I69-E69)</f>
        <v>0.5</v>
      </c>
      <c r="N69" s="30">
        <f>+(L69-E69)/(D69-E69)</f>
        <v>0.15</v>
      </c>
      <c r="O69" s="158">
        <v>0.5</v>
      </c>
      <c r="P69" s="40">
        <v>0.5</v>
      </c>
      <c r="Q69" s="40">
        <v>0.2</v>
      </c>
      <c r="R69" s="40">
        <v>0.2</v>
      </c>
      <c r="S69" s="281">
        <f>+(Q69-E69)/(O69-E69)</f>
        <v>0.4</v>
      </c>
      <c r="T69" s="30">
        <f>+R69/$Q69</f>
        <v>1</v>
      </c>
      <c r="U69" s="123" t="s">
        <v>115</v>
      </c>
      <c r="V69" s="716">
        <v>1</v>
      </c>
      <c r="W69" s="38">
        <f>+D69</f>
        <v>1</v>
      </c>
      <c r="X69" s="176">
        <f>+Q69</f>
        <v>0.2</v>
      </c>
      <c r="Y69" s="176">
        <f>+X69</f>
        <v>0.2</v>
      </c>
      <c r="Z69" s="30">
        <f>(E69-X69)/(E69-V69)</f>
        <v>0.2</v>
      </c>
      <c r="AA69" s="30">
        <f>+(E69-Y69)/(E69-W69)</f>
        <v>0.2</v>
      </c>
      <c r="AB69" s="168">
        <f t="shared" si="25"/>
        <v>0.2</v>
      </c>
      <c r="AC69" s="715" t="s">
        <v>375</v>
      </c>
    </row>
    <row r="70" spans="1:29" ht="30" x14ac:dyDescent="0.25">
      <c r="A70" s="4" t="s">
        <v>71</v>
      </c>
      <c r="B70" s="54" t="s">
        <v>177</v>
      </c>
      <c r="C70" s="57" t="s">
        <v>195</v>
      </c>
      <c r="D70" s="42">
        <v>46000</v>
      </c>
      <c r="E70" s="200">
        <v>43429</v>
      </c>
      <c r="F70" s="493">
        <v>1000</v>
      </c>
      <c r="G70" s="43">
        <v>2458</v>
      </c>
      <c r="H70" s="123">
        <f>+G70/F70</f>
        <v>2.4580000000000002</v>
      </c>
      <c r="I70" s="494">
        <v>15000</v>
      </c>
      <c r="J70" s="55">
        <f>+F70+I70</f>
        <v>16000</v>
      </c>
      <c r="K70" s="42">
        <f>+L70-G70</f>
        <v>967</v>
      </c>
      <c r="L70" s="43">
        <v>3425</v>
      </c>
      <c r="M70" s="145">
        <f>+K70/I70</f>
        <v>6.4466666666666672E-2</v>
      </c>
      <c r="N70" s="143">
        <f>+L70/$K70</f>
        <v>3.5418821096173732</v>
      </c>
      <c r="O70" s="495">
        <v>15000</v>
      </c>
      <c r="P70" s="42">
        <f>+J70+O70</f>
        <v>31000</v>
      </c>
      <c r="Q70" s="43">
        <v>3135</v>
      </c>
      <c r="R70" s="66">
        <f>+L70+Q70</f>
        <v>6560</v>
      </c>
      <c r="S70" s="145">
        <f>+Q70/O70</f>
        <v>0.20899999999999999</v>
      </c>
      <c r="T70" s="145">
        <f>+R70/$Q70</f>
        <v>2.0925039872408293</v>
      </c>
      <c r="U70" s="143" t="s">
        <v>115</v>
      </c>
      <c r="V70" s="717">
        <v>15000</v>
      </c>
      <c r="W70" s="29">
        <f>+F70+I70+O70+V70</f>
        <v>46000</v>
      </c>
      <c r="X70" s="165">
        <v>0</v>
      </c>
      <c r="Y70" s="165">
        <f>+R70+X70</f>
        <v>6560</v>
      </c>
      <c r="Z70" s="30">
        <f>+X70/V70</f>
        <v>0</v>
      </c>
      <c r="AA70" s="30">
        <f>+Y70/W70</f>
        <v>0.14260869565217391</v>
      </c>
      <c r="AB70" s="168">
        <f t="shared" si="25"/>
        <v>0.14260869565217391</v>
      </c>
      <c r="AC70" s="715" t="s">
        <v>375</v>
      </c>
    </row>
    <row r="71" spans="1:29" ht="45" x14ac:dyDescent="0.25">
      <c r="A71" s="4" t="s">
        <v>295</v>
      </c>
      <c r="B71" s="54" t="s">
        <v>178</v>
      </c>
      <c r="C71" s="57" t="s">
        <v>209</v>
      </c>
      <c r="D71" s="27">
        <v>95</v>
      </c>
      <c r="E71" s="200">
        <v>94</v>
      </c>
      <c r="F71" s="702">
        <v>94</v>
      </c>
      <c r="G71" s="11">
        <v>12</v>
      </c>
      <c r="H71" s="249">
        <f>+(G71-0)/(F71-0)</f>
        <v>0.1276595744680851</v>
      </c>
      <c r="I71" s="160">
        <v>95</v>
      </c>
      <c r="J71" s="701">
        <v>95</v>
      </c>
      <c r="K71" s="29">
        <v>88</v>
      </c>
      <c r="L71" s="11">
        <v>88</v>
      </c>
      <c r="M71" s="30">
        <f>+(K71-0)/(I71-0)</f>
        <v>0.9263157894736842</v>
      </c>
      <c r="N71" s="30">
        <f>+(L71-0)/(D71-0)</f>
        <v>0.9263157894736842</v>
      </c>
      <c r="O71" s="161">
        <v>95</v>
      </c>
      <c r="P71" s="27">
        <v>95</v>
      </c>
      <c r="Q71" s="57">
        <v>73</v>
      </c>
      <c r="R71" s="57">
        <v>73</v>
      </c>
      <c r="S71" s="281">
        <f>+(Q71-0)/(O71-0)</f>
        <v>0.76842105263157889</v>
      </c>
      <c r="T71" s="30">
        <f>+(R71-0)/(D71-0)</f>
        <v>0.76842105263157889</v>
      </c>
      <c r="U71" s="123" t="s">
        <v>115</v>
      </c>
      <c r="V71" s="717">
        <v>95</v>
      </c>
      <c r="W71" s="27">
        <f>+D71</f>
        <v>95</v>
      </c>
      <c r="X71" s="162">
        <v>7</v>
      </c>
      <c r="Y71" s="162">
        <f>+R71</f>
        <v>73</v>
      </c>
      <c r="Z71" s="30">
        <f>+X71/V71</f>
        <v>7.3684210526315783E-2</v>
      </c>
      <c r="AA71" s="30">
        <f>+Y71/W71</f>
        <v>0.76842105263157889</v>
      </c>
      <c r="AB71" s="168">
        <f>+AA71</f>
        <v>0.76842105263157889</v>
      </c>
      <c r="AC71" s="715" t="s">
        <v>412</v>
      </c>
    </row>
    <row r="72" spans="1:29" ht="60" x14ac:dyDescent="0.25">
      <c r="A72" s="4" t="s">
        <v>76</v>
      </c>
      <c r="B72" s="54" t="s">
        <v>178</v>
      </c>
      <c r="C72" s="57" t="s">
        <v>183</v>
      </c>
      <c r="D72" s="23">
        <v>0.5</v>
      </c>
      <c r="E72" s="168">
        <v>0</v>
      </c>
      <c r="F72" s="703">
        <v>0</v>
      </c>
      <c r="G72" s="435">
        <v>0</v>
      </c>
      <c r="H72" s="123" t="e">
        <f>+(G72-E72)/(F72-E72)</f>
        <v>#DIV/0!</v>
      </c>
      <c r="I72" s="182">
        <f>+J72-F72</f>
        <v>0.2</v>
      </c>
      <c r="J72" s="707">
        <v>0.2</v>
      </c>
      <c r="K72" s="15">
        <v>0.03</v>
      </c>
      <c r="L72" s="12">
        <v>0.03</v>
      </c>
      <c r="M72" s="30">
        <f>+(K72-E72)/(I72-E72)</f>
        <v>0.15</v>
      </c>
      <c r="N72" s="30">
        <f>+(L72-E72)/(D72-E72)</f>
        <v>0.06</v>
      </c>
      <c r="O72" s="181">
        <v>0.3</v>
      </c>
      <c r="P72" s="31">
        <v>0.3</v>
      </c>
      <c r="Q72" s="40">
        <v>0.18</v>
      </c>
      <c r="R72" s="40">
        <v>0.18</v>
      </c>
      <c r="S72" s="281">
        <f>+(Q72-E72)/(O72-E72)</f>
        <v>0.6</v>
      </c>
      <c r="T72" s="30">
        <f t="shared" ref="T72:T79" si="26">+R72/$Q72</f>
        <v>1</v>
      </c>
      <c r="U72" s="123" t="s">
        <v>115</v>
      </c>
      <c r="V72" s="716">
        <v>0.5</v>
      </c>
      <c r="W72" s="23">
        <f>+D72</f>
        <v>0.5</v>
      </c>
      <c r="X72" s="177">
        <f>+Q72</f>
        <v>0.18</v>
      </c>
      <c r="Y72" s="177">
        <f>+X72</f>
        <v>0.18</v>
      </c>
      <c r="Z72" s="30">
        <f>(E72-X72)/(E72-V72)</f>
        <v>0.36</v>
      </c>
      <c r="AA72" s="30">
        <f>+(E72-Y72)/(E72-W72)</f>
        <v>0.36</v>
      </c>
      <c r="AB72" s="168">
        <f t="shared" si="25"/>
        <v>0.36</v>
      </c>
      <c r="AC72" s="715" t="s">
        <v>375</v>
      </c>
    </row>
    <row r="73" spans="1:29" ht="45" x14ac:dyDescent="0.25">
      <c r="A73" s="4" t="s">
        <v>77</v>
      </c>
      <c r="B73" s="54" t="s">
        <v>180</v>
      </c>
      <c r="C73" s="57" t="s">
        <v>210</v>
      </c>
      <c r="D73" s="27">
        <v>282</v>
      </c>
      <c r="E73" s="200">
        <v>0</v>
      </c>
      <c r="F73" s="702">
        <v>103</v>
      </c>
      <c r="G73" s="20">
        <v>121</v>
      </c>
      <c r="H73" s="123">
        <f>+(G73-E73)/(F73-E73)</f>
        <v>1.174757281553398</v>
      </c>
      <c r="I73" s="160">
        <v>163</v>
      </c>
      <c r="J73" s="701">
        <v>163</v>
      </c>
      <c r="K73" s="29">
        <v>185</v>
      </c>
      <c r="L73" s="20">
        <v>185</v>
      </c>
      <c r="M73" s="30">
        <f>+(K73-E73)/(I73-E73)</f>
        <v>1.1349693251533743</v>
      </c>
      <c r="N73" s="30">
        <f>+(L73-E73)/(D73-E73)</f>
        <v>0.65602836879432624</v>
      </c>
      <c r="O73" s="161">
        <v>223</v>
      </c>
      <c r="P73" s="27">
        <v>223</v>
      </c>
      <c r="Q73" s="575">
        <v>269</v>
      </c>
      <c r="R73" s="575">
        <f>+Q73</f>
        <v>269</v>
      </c>
      <c r="S73" s="281">
        <f>+(Q73-E73)/(O73-E73)</f>
        <v>1.2062780269058295</v>
      </c>
      <c r="T73" s="30">
        <f t="shared" si="26"/>
        <v>1</v>
      </c>
      <c r="U73" s="123" t="s">
        <v>115</v>
      </c>
      <c r="V73" s="717">
        <v>282</v>
      </c>
      <c r="W73" s="27">
        <f>+D73</f>
        <v>282</v>
      </c>
      <c r="X73" s="162">
        <f>+Q73</f>
        <v>269</v>
      </c>
      <c r="Y73" s="162">
        <f>+X73</f>
        <v>269</v>
      </c>
      <c r="Z73" s="30">
        <f>(E73-X73)/(E73-V73)</f>
        <v>0.95390070921985815</v>
      </c>
      <c r="AA73" s="30">
        <f>+(E73-Y73)/(E73-W73)</f>
        <v>0.95390070921985815</v>
      </c>
      <c r="AB73" s="168">
        <f t="shared" si="25"/>
        <v>0.95390070921985815</v>
      </c>
      <c r="AC73" s="715" t="s">
        <v>375</v>
      </c>
    </row>
    <row r="74" spans="1:29" ht="60" x14ac:dyDescent="0.25">
      <c r="A74" s="4" t="s">
        <v>78</v>
      </c>
      <c r="B74" s="54" t="s">
        <v>177</v>
      </c>
      <c r="C74" s="57" t="s">
        <v>183</v>
      </c>
      <c r="D74" s="38">
        <v>1</v>
      </c>
      <c r="E74" s="205" t="s">
        <v>260</v>
      </c>
      <c r="F74" s="743">
        <v>0</v>
      </c>
      <c r="G74" s="45">
        <v>0</v>
      </c>
      <c r="H74" s="123" t="s">
        <v>261</v>
      </c>
      <c r="I74" s="182">
        <v>0.5</v>
      </c>
      <c r="J74" s="707">
        <v>0.5</v>
      </c>
      <c r="K74" s="146">
        <v>0.5</v>
      </c>
      <c r="L74" s="459">
        <f>+G74+K74</f>
        <v>0.5</v>
      </c>
      <c r="M74" s="438">
        <f>+K74/I74</f>
        <v>1</v>
      </c>
      <c r="N74" s="442">
        <f>+L74/$K74</f>
        <v>1</v>
      </c>
      <c r="O74" s="127">
        <v>0.5</v>
      </c>
      <c r="P74" s="40">
        <f>+J74+O74</f>
        <v>1</v>
      </c>
      <c r="Q74" s="44">
        <v>0.5</v>
      </c>
      <c r="R74" s="44">
        <f>+L74+Q74</f>
        <v>1</v>
      </c>
      <c r="S74" s="30">
        <f>+Q74/O74</f>
        <v>1</v>
      </c>
      <c r="T74" s="30">
        <f t="shared" si="26"/>
        <v>2</v>
      </c>
      <c r="U74" s="123" t="s">
        <v>115</v>
      </c>
      <c r="V74" s="716">
        <v>0</v>
      </c>
      <c r="W74" s="709">
        <f>+P74+V74</f>
        <v>1</v>
      </c>
      <c r="X74" s="297">
        <v>0</v>
      </c>
      <c r="Y74" s="297">
        <f>+R74+X74</f>
        <v>1</v>
      </c>
      <c r="Z74" s="30" t="e">
        <f>+X74/V74</f>
        <v>#DIV/0!</v>
      </c>
      <c r="AA74" s="30">
        <f>+Y74/W74</f>
        <v>1</v>
      </c>
      <c r="AB74" s="168">
        <f t="shared" si="25"/>
        <v>1</v>
      </c>
      <c r="AC74" s="715" t="s">
        <v>375</v>
      </c>
    </row>
    <row r="75" spans="1:29" ht="45.75" thickBot="1" x14ac:dyDescent="0.3">
      <c r="A75" s="744" t="s">
        <v>79</v>
      </c>
      <c r="B75" s="735" t="s">
        <v>180</v>
      </c>
      <c r="C75" s="736" t="s">
        <v>183</v>
      </c>
      <c r="D75" s="116">
        <v>0.84</v>
      </c>
      <c r="E75" s="207">
        <v>0.72</v>
      </c>
      <c r="F75" s="710">
        <v>0.78</v>
      </c>
      <c r="G75" s="58">
        <v>0.77249999999999996</v>
      </c>
      <c r="H75" s="123">
        <f>+(G75-E75)/(F75-E75)</f>
        <v>0.87499999999999911</v>
      </c>
      <c r="I75" s="183">
        <v>0.79</v>
      </c>
      <c r="J75" s="711">
        <v>0.79</v>
      </c>
      <c r="K75" s="119">
        <v>0.82589999999999997</v>
      </c>
      <c r="L75" s="120">
        <v>0.82589999999999997</v>
      </c>
      <c r="M75" s="30">
        <f>+(K75-E75)/(I75-E75)</f>
        <v>1.5128571428571413</v>
      </c>
      <c r="N75" s="30">
        <f>+(L75-E75)/(D75-E75)</f>
        <v>0.88249999999999995</v>
      </c>
      <c r="O75" s="441">
        <v>0.81</v>
      </c>
      <c r="P75" s="712">
        <v>0.81</v>
      </c>
      <c r="Q75" s="711">
        <f>+K75</f>
        <v>0.82589999999999997</v>
      </c>
      <c r="R75" s="711">
        <f>+Q75</f>
        <v>0.82589999999999997</v>
      </c>
      <c r="S75" s="281">
        <f>+(Q75-E75)/(O75-E75)</f>
        <v>1.1766666666666656</v>
      </c>
      <c r="T75" s="117">
        <f t="shared" si="26"/>
        <v>1</v>
      </c>
      <c r="U75" s="124" t="s">
        <v>313</v>
      </c>
      <c r="V75" s="737">
        <v>0.84</v>
      </c>
      <c r="W75" s="116">
        <f>+D75</f>
        <v>0.84</v>
      </c>
      <c r="X75" s="738">
        <f>+Q75</f>
        <v>0.82589999999999997</v>
      </c>
      <c r="Y75" s="738">
        <f>+X75</f>
        <v>0.82589999999999997</v>
      </c>
      <c r="Z75" s="30">
        <f>(E75-X75)/(E75-V75)</f>
        <v>0.88249999999999995</v>
      </c>
      <c r="AA75" s="30">
        <f>+(E75-Y75)/(E75-W75)</f>
        <v>0.88249999999999995</v>
      </c>
      <c r="AB75" s="168">
        <f t="shared" si="25"/>
        <v>0.88249999999999995</v>
      </c>
      <c r="AC75" s="739" t="s">
        <v>376</v>
      </c>
    </row>
    <row r="76" spans="1:29" ht="45" x14ac:dyDescent="0.25">
      <c r="A76" s="4" t="s">
        <v>70</v>
      </c>
      <c r="B76" s="54" t="s">
        <v>177</v>
      </c>
      <c r="C76" s="57" t="s">
        <v>208</v>
      </c>
      <c r="D76" s="29">
        <v>8000</v>
      </c>
      <c r="E76" s="200">
        <v>1300</v>
      </c>
      <c r="F76" s="702">
        <v>1500</v>
      </c>
      <c r="G76" s="29">
        <v>0</v>
      </c>
      <c r="H76" s="123">
        <f>+G76/F76</f>
        <v>0</v>
      </c>
      <c r="I76" s="161">
        <v>2000</v>
      </c>
      <c r="J76" s="55">
        <f>+F76+I76</f>
        <v>3500</v>
      </c>
      <c r="K76" s="27">
        <v>1500</v>
      </c>
      <c r="L76" s="18">
        <f>+G76+K76</f>
        <v>1500</v>
      </c>
      <c r="M76" s="438">
        <f>+K76/I76</f>
        <v>0.75</v>
      </c>
      <c r="N76" s="442">
        <f>+L76/$K76</f>
        <v>1</v>
      </c>
      <c r="O76" s="56">
        <v>2000</v>
      </c>
      <c r="P76" s="27">
        <f>+J76+O76</f>
        <v>5500</v>
      </c>
      <c r="Q76" s="374">
        <v>1390</v>
      </c>
      <c r="R76" s="63">
        <f>+L76+Q76</f>
        <v>2890</v>
      </c>
      <c r="S76" s="30">
        <f>+Q76/O76</f>
        <v>0.69499999999999995</v>
      </c>
      <c r="T76" s="30">
        <f t="shared" si="26"/>
        <v>2.079136690647482</v>
      </c>
      <c r="U76" s="123" t="s">
        <v>115</v>
      </c>
      <c r="V76" s="717">
        <v>2500</v>
      </c>
      <c r="W76" s="29">
        <f>+P76+V76</f>
        <v>8000</v>
      </c>
      <c r="X76" s="165">
        <v>1015</v>
      </c>
      <c r="Y76" s="165">
        <f>+R76</f>
        <v>2890</v>
      </c>
      <c r="Z76" s="30">
        <f t="shared" ref="Z76" si="27">+X76/V76</f>
        <v>0.40600000000000003</v>
      </c>
      <c r="AA76" s="30">
        <f>+Y76/W76</f>
        <v>0.36125000000000002</v>
      </c>
      <c r="AB76" s="168">
        <f t="shared" si="25"/>
        <v>0.36125000000000002</v>
      </c>
      <c r="AC76" s="715" t="s">
        <v>417</v>
      </c>
    </row>
    <row r="77" spans="1:29" ht="45" x14ac:dyDescent="0.25">
      <c r="A77" s="4" t="s">
        <v>307</v>
      </c>
      <c r="B77" s="54" t="s">
        <v>178</v>
      </c>
      <c r="C77" s="57" t="s">
        <v>183</v>
      </c>
      <c r="D77" s="13">
        <v>0.85</v>
      </c>
      <c r="E77" s="205">
        <v>0</v>
      </c>
      <c r="F77" s="706">
        <v>1</v>
      </c>
      <c r="G77" s="740">
        <v>0</v>
      </c>
      <c r="H77" s="123">
        <f>+G77/F77</f>
        <v>0</v>
      </c>
      <c r="I77" s="227">
        <v>1</v>
      </c>
      <c r="J77" s="707">
        <v>1</v>
      </c>
      <c r="K77" s="13">
        <v>0.04</v>
      </c>
      <c r="L77" s="13">
        <v>0.04</v>
      </c>
      <c r="M77" s="30">
        <f>+K77/I77</f>
        <v>0.04</v>
      </c>
      <c r="N77" s="123">
        <f>+L77/$K77</f>
        <v>1</v>
      </c>
      <c r="O77" s="125">
        <v>0.8</v>
      </c>
      <c r="P77" s="31">
        <v>0.8</v>
      </c>
      <c r="Q77" s="44">
        <v>0.73399999999999999</v>
      </c>
      <c r="R77" s="44">
        <v>0.73399999999999999</v>
      </c>
      <c r="S77" s="30">
        <f>+Q77/O77</f>
        <v>0.91749999999999998</v>
      </c>
      <c r="T77" s="30">
        <f t="shared" si="26"/>
        <v>1</v>
      </c>
      <c r="U77" s="123" t="s">
        <v>115</v>
      </c>
      <c r="V77" s="716">
        <v>0.85</v>
      </c>
      <c r="W77" s="13">
        <f>+D77</f>
        <v>0.85</v>
      </c>
      <c r="X77" s="167">
        <f>+R77</f>
        <v>0.73399999999999999</v>
      </c>
      <c r="Y77" s="167">
        <f>+X77</f>
        <v>0.73399999999999999</v>
      </c>
      <c r="Z77" s="30">
        <f>+X77/V77</f>
        <v>0.86352941176470588</v>
      </c>
      <c r="AA77" s="30">
        <f>+Y77/W77</f>
        <v>0.86352941176470588</v>
      </c>
      <c r="AB77" s="168">
        <f t="shared" si="25"/>
        <v>0.86352941176470588</v>
      </c>
      <c r="AC77" s="715" t="s">
        <v>375</v>
      </c>
    </row>
    <row r="78" spans="1:29" ht="60" x14ac:dyDescent="0.25">
      <c r="A78" s="4" t="s">
        <v>73</v>
      </c>
      <c r="B78" s="54" t="s">
        <v>178</v>
      </c>
      <c r="C78" s="57" t="s">
        <v>183</v>
      </c>
      <c r="D78" s="38">
        <v>1</v>
      </c>
      <c r="E78" s="205">
        <v>0</v>
      </c>
      <c r="F78" s="713">
        <v>1</v>
      </c>
      <c r="G78" s="741">
        <v>0</v>
      </c>
      <c r="H78" s="123">
        <f>+G78/F78</f>
        <v>0</v>
      </c>
      <c r="I78" s="227">
        <v>1</v>
      </c>
      <c r="J78" s="707">
        <v>1</v>
      </c>
      <c r="K78" s="38">
        <v>7.0000000000000007E-2</v>
      </c>
      <c r="L78" s="38">
        <v>7.0000000000000007E-2</v>
      </c>
      <c r="M78" s="30">
        <f>+K78/I78</f>
        <v>7.0000000000000007E-2</v>
      </c>
      <c r="N78" s="123">
        <f>+L78/$K78</f>
        <v>1</v>
      </c>
      <c r="O78" s="127">
        <v>1</v>
      </c>
      <c r="P78" s="40">
        <v>1</v>
      </c>
      <c r="Q78" s="44">
        <v>0.04</v>
      </c>
      <c r="R78" s="44">
        <v>0.04</v>
      </c>
      <c r="S78" s="30">
        <f>+Q78/O78</f>
        <v>0.04</v>
      </c>
      <c r="T78" s="30">
        <f t="shared" si="26"/>
        <v>1</v>
      </c>
      <c r="U78" s="123" t="s">
        <v>115</v>
      </c>
      <c r="V78" s="716">
        <v>1</v>
      </c>
      <c r="W78" s="38">
        <f>+D78</f>
        <v>1</v>
      </c>
      <c r="X78" s="176">
        <f>+Q78</f>
        <v>0.04</v>
      </c>
      <c r="Y78" s="176">
        <f>+X78</f>
        <v>0.04</v>
      </c>
      <c r="Z78" s="30">
        <f>+X78/V78</f>
        <v>0.04</v>
      </c>
      <c r="AA78" s="30">
        <f>+Y78/W78</f>
        <v>0.04</v>
      </c>
      <c r="AB78" s="168">
        <f t="shared" si="25"/>
        <v>0.04</v>
      </c>
      <c r="AC78" s="715" t="s">
        <v>375</v>
      </c>
    </row>
    <row r="79" spans="1:29" ht="45" x14ac:dyDescent="0.25">
      <c r="A79" s="4" t="s">
        <v>74</v>
      </c>
      <c r="B79" s="54" t="s">
        <v>180</v>
      </c>
      <c r="C79" s="57" t="s">
        <v>183</v>
      </c>
      <c r="D79" s="38">
        <v>1</v>
      </c>
      <c r="E79" s="205" t="s">
        <v>260</v>
      </c>
      <c r="F79" s="713">
        <v>1</v>
      </c>
      <c r="G79" s="45">
        <v>0.23</v>
      </c>
      <c r="H79" s="123">
        <f t="shared" ref="H79" si="28">+G79/F79</f>
        <v>0.23</v>
      </c>
      <c r="I79" s="227">
        <v>1</v>
      </c>
      <c r="J79" s="707">
        <v>1</v>
      </c>
      <c r="K79" s="45">
        <v>0.24</v>
      </c>
      <c r="L79" s="45">
        <v>0.24</v>
      </c>
      <c r="M79" s="437">
        <f>+K79/I79</f>
        <v>0.24</v>
      </c>
      <c r="N79" s="442">
        <f>+L79/$K79</f>
        <v>1</v>
      </c>
      <c r="O79" s="127">
        <v>1</v>
      </c>
      <c r="P79" s="40">
        <v>1</v>
      </c>
      <c r="Q79" s="44">
        <f>+K79</f>
        <v>0.24</v>
      </c>
      <c r="R79" s="44">
        <f>+Q79</f>
        <v>0.24</v>
      </c>
      <c r="S79" s="30">
        <f>+Q79/O79</f>
        <v>0.24</v>
      </c>
      <c r="T79" s="30">
        <f t="shared" si="26"/>
        <v>1</v>
      </c>
      <c r="U79" s="123" t="s">
        <v>313</v>
      </c>
      <c r="V79" s="716">
        <v>1</v>
      </c>
      <c r="W79" s="38">
        <f>+D79</f>
        <v>1</v>
      </c>
      <c r="X79" s="176">
        <f>+Q79</f>
        <v>0.24</v>
      </c>
      <c r="Y79" s="176">
        <f>+X79</f>
        <v>0.24</v>
      </c>
      <c r="Z79" s="30">
        <f t="shared" ref="Z79:AA79" si="29">+X79/V79</f>
        <v>0.24</v>
      </c>
      <c r="AA79" s="30">
        <f t="shared" si="29"/>
        <v>0.24</v>
      </c>
      <c r="AB79" s="168">
        <f t="shared" si="25"/>
        <v>0.24</v>
      </c>
      <c r="AC79" s="715" t="s">
        <v>415</v>
      </c>
    </row>
  </sheetData>
  <conditionalFormatting sqref="L58">
    <cfRule type="cellIs" dxfId="144" priority="90" operator="lessThan">
      <formula>#REF!</formula>
    </cfRule>
  </conditionalFormatting>
  <conditionalFormatting sqref="G7 J11 J14:J15 J17:J18 J20 J22 J24:J27 J35 J39 J41 J43:J44 J70:J71 J73 I7:J7">
    <cfRule type="cellIs" dxfId="143" priority="117" operator="lessThan">
      <formula>#REF!</formula>
    </cfRule>
    <cfRule type="cellIs" dxfId="142" priority="155" operator="lessThan">
      <formula>#REF!</formula>
    </cfRule>
    <cfRule type="cellIs" dxfId="141" priority="156" operator="lessThan">
      <formula>#REF!</formula>
    </cfRule>
  </conditionalFormatting>
  <conditionalFormatting sqref="G18">
    <cfRule type="cellIs" dxfId="140" priority="154" operator="lessThan">
      <formula>#REF!</formula>
    </cfRule>
  </conditionalFormatting>
  <conditionalFormatting sqref="G20">
    <cfRule type="cellIs" dxfId="139" priority="116" operator="lessThan">
      <formula>#REF!</formula>
    </cfRule>
    <cfRule type="cellIs" dxfId="138" priority="153" operator="lessThan">
      <formula>#REF!</formula>
    </cfRule>
  </conditionalFormatting>
  <conditionalFormatting sqref="G25">
    <cfRule type="cellIs" dxfId="137" priority="152" operator="lessThan">
      <formula>#REF!</formula>
    </cfRule>
  </conditionalFormatting>
  <conditionalFormatting sqref="G27">
    <cfRule type="cellIs" dxfId="136" priority="151" operator="lessThan">
      <formula>#REF!</formula>
    </cfRule>
  </conditionalFormatting>
  <conditionalFormatting sqref="G40">
    <cfRule type="cellIs" dxfId="135" priority="145" operator="lessThan">
      <formula>#REF!</formula>
    </cfRule>
  </conditionalFormatting>
  <conditionalFormatting sqref="G29">
    <cfRule type="cellIs" dxfId="134" priority="150" operator="lessThan">
      <formula>#REF!</formula>
    </cfRule>
  </conditionalFormatting>
  <conditionalFormatting sqref="G45">
    <cfRule type="cellIs" dxfId="133" priority="142" operator="lessThan">
      <formula>#REF!</formula>
    </cfRule>
  </conditionalFormatting>
  <conditionalFormatting sqref="G46">
    <cfRule type="cellIs" dxfId="132" priority="141" operator="lessThan">
      <formula>#REF!</formula>
    </cfRule>
  </conditionalFormatting>
  <conditionalFormatting sqref="G33">
    <cfRule type="cellIs" dxfId="131" priority="149" operator="lessThan">
      <formula>#REF!</formula>
    </cfRule>
  </conditionalFormatting>
  <conditionalFormatting sqref="G34">
    <cfRule type="cellIs" dxfId="130" priority="148" operator="lessThan">
      <formula>#REF!</formula>
    </cfRule>
  </conditionalFormatting>
  <conditionalFormatting sqref="G35">
    <cfRule type="cellIs" dxfId="129" priority="147" operator="lessThan">
      <formula>#REF!</formula>
    </cfRule>
  </conditionalFormatting>
  <conditionalFormatting sqref="G50">
    <cfRule type="cellIs" dxfId="128" priority="139" operator="lessThan">
      <formula>#REF!</formula>
    </cfRule>
  </conditionalFormatting>
  <conditionalFormatting sqref="G51">
    <cfRule type="cellIs" dxfId="127" priority="138" operator="lessThan">
      <formula>#REF!</formula>
    </cfRule>
  </conditionalFormatting>
  <conditionalFormatting sqref="G52">
    <cfRule type="cellIs" dxfId="126" priority="137" operator="lessThan">
      <formula>#REF!</formula>
    </cfRule>
  </conditionalFormatting>
  <conditionalFormatting sqref="G39">
    <cfRule type="cellIs" dxfId="125" priority="146" operator="lessThan">
      <formula>#REF!</formula>
    </cfRule>
  </conditionalFormatting>
  <conditionalFormatting sqref="G41">
    <cfRule type="cellIs" dxfId="124" priority="144" operator="lessThan">
      <formula>#REF!</formula>
    </cfRule>
  </conditionalFormatting>
  <conditionalFormatting sqref="G56">
    <cfRule type="cellIs" dxfId="123" priority="133" operator="lessThan">
      <formula>#REF!</formula>
    </cfRule>
  </conditionalFormatting>
  <conditionalFormatting sqref="G43">
    <cfRule type="cellIs" dxfId="122" priority="143" operator="lessThan">
      <formula>#REF!</formula>
    </cfRule>
  </conditionalFormatting>
  <conditionalFormatting sqref="G47">
    <cfRule type="cellIs" dxfId="121" priority="140" operator="lessThan">
      <formula>#REF!</formula>
    </cfRule>
  </conditionalFormatting>
  <conditionalFormatting sqref="G54">
    <cfRule type="cellIs" dxfId="120" priority="135" operator="lessThan">
      <formula>#REF!</formula>
    </cfRule>
  </conditionalFormatting>
  <conditionalFormatting sqref="G53">
    <cfRule type="cellIs" dxfId="119" priority="115" operator="lessThan">
      <formula>#REF!</formula>
    </cfRule>
    <cfRule type="cellIs" dxfId="118" priority="136" operator="lessThan">
      <formula>#REF!</formula>
    </cfRule>
  </conditionalFormatting>
  <conditionalFormatting sqref="G55">
    <cfRule type="cellIs" dxfId="117" priority="134" operator="lessThan">
      <formula>#REF!</formula>
    </cfRule>
  </conditionalFormatting>
  <conditionalFormatting sqref="G57">
    <cfRule type="cellIs" dxfId="116" priority="132" operator="lessThan">
      <formula>#REF!</formula>
    </cfRule>
  </conditionalFormatting>
  <conditionalFormatting sqref="G58">
    <cfRule type="cellIs" dxfId="115" priority="131" operator="lessThan">
      <formula>#REF!</formula>
    </cfRule>
  </conditionalFormatting>
  <conditionalFormatting sqref="G59">
    <cfRule type="cellIs" dxfId="114" priority="130" operator="lessThan">
      <formula>#REF!</formula>
    </cfRule>
  </conditionalFormatting>
  <conditionalFormatting sqref="G60">
    <cfRule type="cellIs" dxfId="113" priority="129" operator="lessThan">
      <formula>#REF!</formula>
    </cfRule>
  </conditionalFormatting>
  <conditionalFormatting sqref="G61">
    <cfRule type="cellIs" dxfId="112" priority="128" operator="lessThan">
      <formula>#REF!</formula>
    </cfRule>
  </conditionalFormatting>
  <conditionalFormatting sqref="G62">
    <cfRule type="cellIs" dxfId="111" priority="127" operator="lessThan">
      <formula>#REF!</formula>
    </cfRule>
  </conditionalFormatting>
  <conditionalFormatting sqref="G63">
    <cfRule type="cellIs" dxfId="110" priority="126" operator="lessThan">
      <formula>#REF!</formula>
    </cfRule>
  </conditionalFormatting>
  <conditionalFormatting sqref="G64">
    <cfRule type="cellIs" dxfId="109" priority="125" operator="lessThan">
      <formula>#REF!</formula>
    </cfRule>
  </conditionalFormatting>
  <conditionalFormatting sqref="G65">
    <cfRule type="cellIs" dxfId="108" priority="124" operator="lessThan">
      <formula>#REF!</formula>
    </cfRule>
  </conditionalFormatting>
  <conditionalFormatting sqref="G66">
    <cfRule type="cellIs" dxfId="107" priority="123" operator="lessThan">
      <formula>#REF!</formula>
    </cfRule>
  </conditionalFormatting>
  <conditionalFormatting sqref="G70">
    <cfRule type="cellIs" dxfId="106" priority="122" operator="lessThan">
      <formula>#REF!</formula>
    </cfRule>
  </conditionalFormatting>
  <conditionalFormatting sqref="G77">
    <cfRule type="cellIs" dxfId="105" priority="120" operator="lessThan">
      <formula>#REF!</formula>
    </cfRule>
    <cfRule type="cellIs" dxfId="104" priority="121" operator="lessThan">
      <formula>#REF!</formula>
    </cfRule>
  </conditionalFormatting>
  <conditionalFormatting sqref="G78">
    <cfRule type="cellIs" dxfId="103" priority="119" operator="lessThan">
      <formula>#REF!</formula>
    </cfRule>
  </conditionalFormatting>
  <conditionalFormatting sqref="G74">
    <cfRule type="cellIs" dxfId="102" priority="118" operator="lessThan">
      <formula>#REF!</formula>
    </cfRule>
  </conditionalFormatting>
  <conditionalFormatting sqref="L53">
    <cfRule type="cellIs" dxfId="101" priority="114" operator="greaterThan">
      <formula>"S58"</formula>
    </cfRule>
  </conditionalFormatting>
  <conditionalFormatting sqref="L56">
    <cfRule type="cellIs" dxfId="100" priority="113" operator="lessThan">
      <formula>#REF!</formula>
    </cfRule>
  </conditionalFormatting>
  <conditionalFormatting sqref="L60">
    <cfRule type="cellIs" dxfId="99" priority="112" operator="lessThan">
      <formula>#REF!</formula>
    </cfRule>
  </conditionalFormatting>
  <conditionalFormatting sqref="L59">
    <cfRule type="cellIs" dxfId="98" priority="111" operator="lessThan">
      <formula>#REF!</formula>
    </cfRule>
  </conditionalFormatting>
  <conditionalFormatting sqref="L61">
    <cfRule type="cellIs" dxfId="97" priority="110" operator="greaterThan">
      <formula>#REF!</formula>
    </cfRule>
  </conditionalFormatting>
  <conditionalFormatting sqref="L62">
    <cfRule type="cellIs" dxfId="96" priority="109" operator="lessThan">
      <formula>#REF!</formula>
    </cfRule>
  </conditionalFormatting>
  <conditionalFormatting sqref="L63">
    <cfRule type="cellIs" dxfId="95" priority="108" operator="lessThan">
      <formula>#REF!</formula>
    </cfRule>
  </conditionalFormatting>
  <conditionalFormatting sqref="L64">
    <cfRule type="cellIs" dxfId="94" priority="107" operator="lessThan">
      <formula>#REF!</formula>
    </cfRule>
  </conditionalFormatting>
  <conditionalFormatting sqref="L66">
    <cfRule type="cellIs" dxfId="93" priority="106" operator="greaterThan">
      <formula>#REF!</formula>
    </cfRule>
  </conditionalFormatting>
  <conditionalFormatting sqref="L67">
    <cfRule type="cellIs" dxfId="92" priority="105" operator="lessThan">
      <formula>#REF!</formula>
    </cfRule>
  </conditionalFormatting>
  <conditionalFormatting sqref="K76">
    <cfRule type="cellIs" dxfId="91" priority="104" operator="lessThan">
      <formula>#REF!</formula>
    </cfRule>
  </conditionalFormatting>
  <conditionalFormatting sqref="G4 J4">
    <cfRule type="cellIs" dxfId="90" priority="102" operator="lessThan">
      <formula>#REF!</formula>
    </cfRule>
    <cfRule type="cellIs" dxfId="89" priority="103" operator="lessThan">
      <formula>#REF!</formula>
    </cfRule>
  </conditionalFormatting>
  <conditionalFormatting sqref="L70">
    <cfRule type="cellIs" dxfId="88" priority="101" operator="lessThan">
      <formula>#REF!</formula>
    </cfRule>
  </conditionalFormatting>
  <conditionalFormatting sqref="K45:L45 K46:K67">
    <cfRule type="cellIs" dxfId="87" priority="100" operator="lessThan">
      <formula>#REF!</formula>
    </cfRule>
  </conditionalFormatting>
  <conditionalFormatting sqref="L46">
    <cfRule type="cellIs" dxfId="86" priority="99" operator="lessThan">
      <formula>#REF!</formula>
    </cfRule>
  </conditionalFormatting>
  <conditionalFormatting sqref="Q46">
    <cfRule type="cellIs" dxfId="85" priority="98" operator="lessThan">
      <formula>#REF!</formula>
    </cfRule>
  </conditionalFormatting>
  <conditionalFormatting sqref="L47">
    <cfRule type="cellIs" dxfId="84" priority="97" operator="lessThan">
      <formula>#REF!</formula>
    </cfRule>
  </conditionalFormatting>
  <conditionalFormatting sqref="D49">
    <cfRule type="cellIs" dxfId="83" priority="96" operator="lessThan">
      <formula>#REF!</formula>
    </cfRule>
  </conditionalFormatting>
  <conditionalFormatting sqref="G49">
    <cfRule type="cellIs" dxfId="82" priority="95" operator="lessThan">
      <formula>#REF!</formula>
    </cfRule>
  </conditionalFormatting>
  <conditionalFormatting sqref="L51">
    <cfRule type="cellIs" dxfId="81" priority="94" operator="lessThan">
      <formula>#REF!</formula>
    </cfRule>
  </conditionalFormatting>
  <conditionalFormatting sqref="L54">
    <cfRule type="cellIs" dxfId="80" priority="93" operator="lessThan">
      <formula>#REF!</formula>
    </cfRule>
  </conditionalFormatting>
  <conditionalFormatting sqref="L55">
    <cfRule type="cellIs" dxfId="79" priority="92" operator="lessThan">
      <formula>#REF!</formula>
    </cfRule>
  </conditionalFormatting>
  <conditionalFormatting sqref="L57">
    <cfRule type="cellIs" dxfId="78" priority="91" operator="lessThan">
      <formula>#REF!</formula>
    </cfRule>
  </conditionalFormatting>
  <conditionalFormatting sqref="Q70">
    <cfRule type="cellIs" dxfId="77" priority="89" operator="lessThan">
      <formula>#REF!</formula>
    </cfRule>
  </conditionalFormatting>
  <conditionalFormatting sqref="M2:N79">
    <cfRule type="iconSet" priority="88">
      <iconSet iconSet="3TrafficLights2">
        <cfvo type="percent" val="0"/>
        <cfvo type="num" val="0.98"/>
        <cfvo type="num" val="1"/>
      </iconSet>
    </cfRule>
  </conditionalFormatting>
  <conditionalFormatting sqref="T5:U5 T10:U10 T26:U26 T35:U35 S54:U56 T53:U53 T57:U57 S2:U4 S36:U52 S58:U79 S6:U9 S11:U25 S27:U34">
    <cfRule type="iconSet" priority="87">
      <iconSet iconSet="3TrafficLights2">
        <cfvo type="percent" val="0"/>
        <cfvo type="num" val="0.98"/>
        <cfvo type="num" val="1"/>
      </iconSet>
    </cfRule>
  </conditionalFormatting>
  <conditionalFormatting sqref="R46">
    <cfRule type="cellIs" dxfId="76" priority="86" operator="lessThan">
      <formula>#REF!</formula>
    </cfRule>
  </conditionalFormatting>
  <conditionalFormatting sqref="H2:H79">
    <cfRule type="iconSet" priority="157">
      <iconSet iconSet="3TrafficLights2">
        <cfvo type="percent" val="0"/>
        <cfvo type="num" val="0.98"/>
        <cfvo type="num" val="1"/>
      </iconSet>
    </cfRule>
  </conditionalFormatting>
  <conditionalFormatting sqref="W49:Y49">
    <cfRule type="cellIs" dxfId="75" priority="85" operator="lessThan">
      <formula>#REF!</formula>
    </cfRule>
  </conditionalFormatting>
  <conditionalFormatting sqref="AC49">
    <cfRule type="cellIs" dxfId="74" priority="84" operator="lessThan">
      <formula>#REF!</formula>
    </cfRule>
  </conditionalFormatting>
  <conditionalFormatting sqref="Z27:AA27">
    <cfRule type="iconSet" priority="83">
      <iconSet iconSet="3TrafficLights2">
        <cfvo type="percent" val="0"/>
        <cfvo type="num" val="0.98"/>
        <cfvo type="num" val="1"/>
      </iconSet>
    </cfRule>
  </conditionalFormatting>
  <conditionalFormatting sqref="Z58:AA58">
    <cfRule type="iconSet" priority="82">
      <iconSet iconSet="3TrafficLights2">
        <cfvo type="percent" val="0"/>
        <cfvo type="num" val="0.98"/>
        <cfvo type="num" val="1"/>
      </iconSet>
    </cfRule>
  </conditionalFormatting>
  <conditionalFormatting sqref="Z76:AA76 Z65:AA65 Z7:AA7 Z74:AA74">
    <cfRule type="iconSet" priority="81">
      <iconSet iconSet="3TrafficLights2">
        <cfvo type="percent" val="0"/>
        <cfvo type="num" val="0.98"/>
        <cfvo type="num" val="1"/>
      </iconSet>
    </cfRule>
  </conditionalFormatting>
  <conditionalFormatting sqref="S5 S10 S26 S35 S53 S57">
    <cfRule type="iconSet" priority="80">
      <iconSet iconSet="3TrafficLights2">
        <cfvo type="percent" val="0"/>
        <cfvo type="num" val="0.98"/>
        <cfvo type="num" val="1"/>
      </iconSet>
    </cfRule>
  </conditionalFormatting>
  <conditionalFormatting sqref="Z5 Z10 Z26 Z35 Z53 Z57">
    <cfRule type="iconSet" priority="79">
      <iconSet iconSet="3TrafficLights2">
        <cfvo type="percent" val="0"/>
        <cfvo type="num" val="0.98"/>
        <cfvo type="num" val="1"/>
      </iconSet>
    </cfRule>
  </conditionalFormatting>
  <conditionalFormatting sqref="AA5 AA10 AA26 AA35 AA53 AA57">
    <cfRule type="iconSet" priority="78">
      <iconSet iconSet="3TrafficLights2">
        <cfvo type="percent" val="0"/>
        <cfvo type="num" val="0.98"/>
        <cfvo type="num" val="1"/>
      </iconSet>
    </cfRule>
  </conditionalFormatting>
  <conditionalFormatting sqref="G44">
    <cfRule type="cellIs" dxfId="73" priority="77" operator="lessThan">
      <formula>#REF!</formula>
    </cfRule>
  </conditionalFormatting>
  <conditionalFormatting sqref="Z31">
    <cfRule type="iconSet" priority="76">
      <iconSet iconSet="3TrafficLights2">
        <cfvo type="percent" val="0"/>
        <cfvo type="num" val="0.98"/>
        <cfvo type="num" val="1"/>
      </iconSet>
    </cfRule>
  </conditionalFormatting>
  <conditionalFormatting sqref="AA31">
    <cfRule type="iconSet" priority="75">
      <iconSet iconSet="3TrafficLights2">
        <cfvo type="percent" val="0"/>
        <cfvo type="num" val="0.98"/>
        <cfvo type="num" val="1"/>
      </iconSet>
    </cfRule>
  </conditionalFormatting>
  <conditionalFormatting sqref="Z33:AA33">
    <cfRule type="iconSet" priority="74">
      <iconSet iconSet="3TrafficLights2">
        <cfvo type="percent" val="0"/>
        <cfvo type="num" val="0.98"/>
        <cfvo type="num" val="1"/>
      </iconSet>
    </cfRule>
  </conditionalFormatting>
  <conditionalFormatting sqref="Z34:AA34">
    <cfRule type="iconSet" priority="73">
      <iconSet iconSet="3TrafficLights2">
        <cfvo type="percent" val="0"/>
        <cfvo type="num" val="0.98"/>
        <cfvo type="num" val="1"/>
      </iconSet>
    </cfRule>
  </conditionalFormatting>
  <conditionalFormatting sqref="Z2">
    <cfRule type="iconSet" priority="72">
      <iconSet iconSet="3TrafficLights2">
        <cfvo type="percent" val="0"/>
        <cfvo type="num" val="0.98"/>
        <cfvo type="num" val="1"/>
      </iconSet>
    </cfRule>
  </conditionalFormatting>
  <conditionalFormatting sqref="AA2">
    <cfRule type="iconSet" priority="71">
      <iconSet iconSet="3TrafficLights2">
        <cfvo type="percent" val="0"/>
        <cfvo type="num" val="0.98"/>
        <cfvo type="num" val="1"/>
      </iconSet>
    </cfRule>
  </conditionalFormatting>
  <conditionalFormatting sqref="Z12:Z13 Z48">
    <cfRule type="iconSet" priority="70">
      <iconSet iconSet="3TrafficLights2">
        <cfvo type="percent" val="0"/>
        <cfvo type="num" val="0.98"/>
        <cfvo type="num" val="1"/>
      </iconSet>
    </cfRule>
  </conditionalFormatting>
  <conditionalFormatting sqref="AA12:AA13 AA48">
    <cfRule type="iconSet" priority="69">
      <iconSet iconSet="3TrafficLights2">
        <cfvo type="percent" val="0"/>
        <cfvo type="num" val="0.98"/>
        <cfvo type="num" val="1"/>
      </iconSet>
    </cfRule>
  </conditionalFormatting>
  <conditionalFormatting sqref="Z70">
    <cfRule type="iconSet" priority="68">
      <iconSet iconSet="3TrafficLights2">
        <cfvo type="percent" val="0"/>
        <cfvo type="num" val="0.98"/>
        <cfvo type="num" val="1"/>
      </iconSet>
    </cfRule>
  </conditionalFormatting>
  <conditionalFormatting sqref="AA70">
    <cfRule type="iconSet" priority="67">
      <iconSet iconSet="3TrafficLights2">
        <cfvo type="percent" val="0"/>
        <cfvo type="num" val="0.98"/>
        <cfvo type="num" val="1"/>
      </iconSet>
    </cfRule>
  </conditionalFormatting>
  <conditionalFormatting sqref="Z11:AA11 Z49:AA51 Z56:AA56">
    <cfRule type="iconSet" priority="66">
      <iconSet iconSet="3TrafficLights2">
        <cfvo type="percent" val="0"/>
        <cfvo type="num" val="0.98"/>
        <cfvo type="num" val="1"/>
      </iconSet>
    </cfRule>
  </conditionalFormatting>
  <conditionalFormatting sqref="Z60:AA60">
    <cfRule type="iconSet" priority="65">
      <iconSet iconSet="3TrafficLights2">
        <cfvo type="percent" val="0"/>
        <cfvo type="num" val="0.98"/>
        <cfvo type="num" val="1"/>
      </iconSet>
    </cfRule>
  </conditionalFormatting>
  <conditionalFormatting sqref="Z46:AA46">
    <cfRule type="iconSet" priority="64">
      <iconSet iconSet="3TrafficLights2">
        <cfvo type="percent" val="0"/>
        <cfvo type="num" val="0.98"/>
        <cfvo type="num" val="1"/>
      </iconSet>
    </cfRule>
  </conditionalFormatting>
  <conditionalFormatting sqref="Z41">
    <cfRule type="iconSet" priority="63">
      <iconSet iconSet="3TrafficLights2">
        <cfvo type="percent" val="0"/>
        <cfvo type="num" val="0.98"/>
        <cfvo type="num" val="1"/>
      </iconSet>
    </cfRule>
  </conditionalFormatting>
  <conditionalFormatting sqref="AA41">
    <cfRule type="iconSet" priority="62">
      <iconSet iconSet="3TrafficLights2">
        <cfvo type="percent" val="0"/>
        <cfvo type="num" val="0.98"/>
        <cfvo type="num" val="1"/>
      </iconSet>
    </cfRule>
  </conditionalFormatting>
  <conditionalFormatting sqref="Z71:AA71">
    <cfRule type="iconSet" priority="61">
      <iconSet iconSet="3TrafficLights2">
        <cfvo type="percent" val="0"/>
        <cfvo type="num" val="0.98"/>
        <cfvo type="num" val="1"/>
      </iconSet>
    </cfRule>
  </conditionalFormatting>
  <conditionalFormatting sqref="Z66">
    <cfRule type="iconSet" priority="60">
      <iconSet iconSet="3TrafficLights2">
        <cfvo type="percent" val="0"/>
        <cfvo type="num" val="0.98"/>
        <cfvo type="num" val="1"/>
      </iconSet>
    </cfRule>
  </conditionalFormatting>
  <conditionalFormatting sqref="AA66">
    <cfRule type="iconSet" priority="59">
      <iconSet iconSet="3TrafficLights2">
        <cfvo type="percent" val="0"/>
        <cfvo type="num" val="0.98"/>
        <cfvo type="num" val="1"/>
      </iconSet>
    </cfRule>
  </conditionalFormatting>
  <conditionalFormatting sqref="Z18:AA18 Z22:AA22 Z25:AA25 Z15:AA16 Z28:AA28 Z40:AA40 Z52:AA52 Z55:AA55 Z59:AA59 Z62:AA63">
    <cfRule type="iconSet" priority="58">
      <iconSet iconSet="3TrafficLights2">
        <cfvo type="percent" val="0"/>
        <cfvo type="num" val="0.98"/>
        <cfvo type="num" val="1"/>
      </iconSet>
    </cfRule>
  </conditionalFormatting>
  <conditionalFormatting sqref="Z67:AA67">
    <cfRule type="iconSet" priority="57">
      <iconSet iconSet="3TrafficLights2">
        <cfvo type="percent" val="0"/>
        <cfvo type="num" val="0.98"/>
        <cfvo type="num" val="1"/>
      </iconSet>
    </cfRule>
  </conditionalFormatting>
  <conditionalFormatting sqref="Z38:AA38">
    <cfRule type="iconSet" priority="56">
      <iconSet iconSet="3TrafficLights2">
        <cfvo type="percent" val="0"/>
        <cfvo type="num" val="0.98"/>
        <cfvo type="num" val="1"/>
      </iconSet>
    </cfRule>
  </conditionalFormatting>
  <conditionalFormatting sqref="Z39:AA39">
    <cfRule type="iconSet" priority="55">
      <iconSet iconSet="3TrafficLights2">
        <cfvo type="percent" val="0"/>
        <cfvo type="num" val="0.98"/>
        <cfvo type="num" val="1"/>
      </iconSet>
    </cfRule>
  </conditionalFormatting>
  <conditionalFormatting sqref="Z24:AA24">
    <cfRule type="iconSet" priority="54">
      <iconSet iconSet="3TrafficLights2">
        <cfvo type="percent" val="0"/>
        <cfvo type="num" val="0.98"/>
        <cfvo type="num" val="1"/>
      </iconSet>
    </cfRule>
  </conditionalFormatting>
  <conditionalFormatting sqref="Z14:AA14">
    <cfRule type="iconSet" priority="53">
      <iconSet iconSet="3TrafficLights2">
        <cfvo type="percent" val="0"/>
        <cfvo type="num" val="0.98"/>
        <cfvo type="num" val="1"/>
      </iconSet>
    </cfRule>
  </conditionalFormatting>
  <conditionalFormatting sqref="Z4:AA4">
    <cfRule type="iconSet" priority="52">
      <iconSet iconSet="3TrafficLights2">
        <cfvo type="percent" val="0"/>
        <cfvo type="num" val="0.98"/>
        <cfvo type="num" val="1"/>
      </iconSet>
    </cfRule>
  </conditionalFormatting>
  <conditionalFormatting sqref="Z6">
    <cfRule type="iconSet" priority="51">
      <iconSet iconSet="3TrafficLights2">
        <cfvo type="percent" val="0"/>
        <cfvo type="num" val="0.98"/>
        <cfvo type="num" val="1"/>
      </iconSet>
    </cfRule>
  </conditionalFormatting>
  <conditionalFormatting sqref="AA6">
    <cfRule type="iconSet" priority="50">
      <iconSet iconSet="3TrafficLights2">
        <cfvo type="percent" val="0"/>
        <cfvo type="num" val="0.98"/>
        <cfvo type="num" val="1"/>
      </iconSet>
    </cfRule>
  </conditionalFormatting>
  <conditionalFormatting sqref="Z8:AA9">
    <cfRule type="iconSet" priority="49">
      <iconSet iconSet="3TrafficLights2">
        <cfvo type="percent" val="0"/>
        <cfvo type="num" val="0.98"/>
        <cfvo type="num" val="1"/>
      </iconSet>
    </cfRule>
  </conditionalFormatting>
  <conditionalFormatting sqref="Z3">
    <cfRule type="iconSet" priority="48">
      <iconSet iconSet="3TrafficLights2">
        <cfvo type="percent" val="0"/>
        <cfvo type="num" val="0.98"/>
        <cfvo type="num" val="1"/>
      </iconSet>
    </cfRule>
  </conditionalFormatting>
  <conditionalFormatting sqref="AA3">
    <cfRule type="iconSet" priority="47">
      <iconSet iconSet="3TrafficLights2">
        <cfvo type="percent" val="0"/>
        <cfvo type="num" val="0.98"/>
        <cfvo type="num" val="1"/>
      </iconSet>
    </cfRule>
  </conditionalFormatting>
  <conditionalFormatting sqref="Z17:AA17">
    <cfRule type="iconSet" priority="46">
      <iconSet iconSet="3TrafficLights2">
        <cfvo type="percent" val="0"/>
        <cfvo type="num" val="0.98"/>
        <cfvo type="num" val="1"/>
      </iconSet>
    </cfRule>
  </conditionalFormatting>
  <conditionalFormatting sqref="Z19">
    <cfRule type="iconSet" priority="45">
      <iconSet iconSet="3TrafficLights2">
        <cfvo type="percent" val="0"/>
        <cfvo type="num" val="0.98"/>
        <cfvo type="num" val="1"/>
      </iconSet>
    </cfRule>
  </conditionalFormatting>
  <conditionalFormatting sqref="AA19">
    <cfRule type="iconSet" priority="44">
      <iconSet iconSet="3TrafficLights2">
        <cfvo type="percent" val="0"/>
        <cfvo type="num" val="0.98"/>
        <cfvo type="num" val="1"/>
      </iconSet>
    </cfRule>
  </conditionalFormatting>
  <conditionalFormatting sqref="Z20">
    <cfRule type="iconSet" priority="43">
      <iconSet iconSet="3TrafficLights2">
        <cfvo type="percent" val="0"/>
        <cfvo type="num" val="0.98"/>
        <cfvo type="num" val="1"/>
      </iconSet>
    </cfRule>
  </conditionalFormatting>
  <conditionalFormatting sqref="AA20">
    <cfRule type="iconSet" priority="42">
      <iconSet iconSet="3TrafficLights2">
        <cfvo type="percent" val="0"/>
        <cfvo type="num" val="0.98"/>
        <cfvo type="num" val="1"/>
      </iconSet>
    </cfRule>
  </conditionalFormatting>
  <conditionalFormatting sqref="Z21">
    <cfRule type="iconSet" priority="41">
      <iconSet iconSet="3TrafficLights2">
        <cfvo type="percent" val="0"/>
        <cfvo type="num" val="0.98"/>
        <cfvo type="num" val="1"/>
      </iconSet>
    </cfRule>
  </conditionalFormatting>
  <conditionalFormatting sqref="AA21">
    <cfRule type="iconSet" priority="40">
      <iconSet iconSet="3TrafficLights2">
        <cfvo type="percent" val="0"/>
        <cfvo type="num" val="0.98"/>
        <cfvo type="num" val="1"/>
      </iconSet>
    </cfRule>
  </conditionalFormatting>
  <conditionalFormatting sqref="Z23">
    <cfRule type="iconSet" priority="39">
      <iconSet iconSet="3TrafficLights2">
        <cfvo type="percent" val="0"/>
        <cfvo type="num" val="0.98"/>
        <cfvo type="num" val="1"/>
      </iconSet>
    </cfRule>
  </conditionalFormatting>
  <conditionalFormatting sqref="AA23">
    <cfRule type="iconSet" priority="38">
      <iconSet iconSet="3TrafficLights2">
        <cfvo type="percent" val="0"/>
        <cfvo type="num" val="0.98"/>
        <cfvo type="num" val="1"/>
      </iconSet>
    </cfRule>
  </conditionalFormatting>
  <conditionalFormatting sqref="Z30">
    <cfRule type="iconSet" priority="37">
      <iconSet iconSet="3TrafficLights2">
        <cfvo type="percent" val="0"/>
        <cfvo type="num" val="0.98"/>
        <cfvo type="num" val="1"/>
      </iconSet>
    </cfRule>
  </conditionalFormatting>
  <conditionalFormatting sqref="AA30">
    <cfRule type="iconSet" priority="36">
      <iconSet iconSet="3TrafficLights2">
        <cfvo type="percent" val="0"/>
        <cfvo type="num" val="0.98"/>
        <cfvo type="num" val="1"/>
      </iconSet>
    </cfRule>
  </conditionalFormatting>
  <conditionalFormatting sqref="Z32">
    <cfRule type="iconSet" priority="35">
      <iconSet iconSet="3TrafficLights2">
        <cfvo type="percent" val="0"/>
        <cfvo type="num" val="0.98"/>
        <cfvo type="num" val="1"/>
      </iconSet>
    </cfRule>
  </conditionalFormatting>
  <conditionalFormatting sqref="AA32">
    <cfRule type="iconSet" priority="34">
      <iconSet iconSet="3TrafficLights2">
        <cfvo type="percent" val="0"/>
        <cfvo type="num" val="0.98"/>
        <cfvo type="num" val="1"/>
      </iconSet>
    </cfRule>
  </conditionalFormatting>
  <conditionalFormatting sqref="Z36">
    <cfRule type="iconSet" priority="33">
      <iconSet iconSet="3TrafficLights2">
        <cfvo type="percent" val="0"/>
        <cfvo type="num" val="0.98"/>
        <cfvo type="num" val="1"/>
      </iconSet>
    </cfRule>
  </conditionalFormatting>
  <conditionalFormatting sqref="AA36">
    <cfRule type="iconSet" priority="32">
      <iconSet iconSet="3TrafficLights2">
        <cfvo type="percent" val="0"/>
        <cfvo type="num" val="0.98"/>
        <cfvo type="num" val="1"/>
      </iconSet>
    </cfRule>
  </conditionalFormatting>
  <conditionalFormatting sqref="Z37">
    <cfRule type="iconSet" priority="31">
      <iconSet iconSet="3TrafficLights2">
        <cfvo type="percent" val="0"/>
        <cfvo type="num" val="0.98"/>
        <cfvo type="num" val="1"/>
      </iconSet>
    </cfRule>
  </conditionalFormatting>
  <conditionalFormatting sqref="AA37">
    <cfRule type="iconSet" priority="30">
      <iconSet iconSet="3TrafficLights2">
        <cfvo type="percent" val="0"/>
        <cfvo type="num" val="0.98"/>
        <cfvo type="num" val="1"/>
      </iconSet>
    </cfRule>
  </conditionalFormatting>
  <conditionalFormatting sqref="Z42">
    <cfRule type="iconSet" priority="29">
      <iconSet iconSet="3TrafficLights2">
        <cfvo type="percent" val="0"/>
        <cfvo type="num" val="0.98"/>
        <cfvo type="num" val="1"/>
      </iconSet>
    </cfRule>
  </conditionalFormatting>
  <conditionalFormatting sqref="AA42">
    <cfRule type="iconSet" priority="28">
      <iconSet iconSet="3TrafficLights2">
        <cfvo type="percent" val="0"/>
        <cfvo type="num" val="0.98"/>
        <cfvo type="num" val="1"/>
      </iconSet>
    </cfRule>
  </conditionalFormatting>
  <conditionalFormatting sqref="Z43">
    <cfRule type="iconSet" priority="27">
      <iconSet iconSet="3TrafficLights2">
        <cfvo type="percent" val="0"/>
        <cfvo type="num" val="0.98"/>
        <cfvo type="num" val="1"/>
      </iconSet>
    </cfRule>
  </conditionalFormatting>
  <conditionalFormatting sqref="AA43">
    <cfRule type="iconSet" priority="26">
      <iconSet iconSet="3TrafficLights2">
        <cfvo type="percent" val="0"/>
        <cfvo type="num" val="0.98"/>
        <cfvo type="num" val="1"/>
      </iconSet>
    </cfRule>
  </conditionalFormatting>
  <conditionalFormatting sqref="Z44">
    <cfRule type="iconSet" priority="25">
      <iconSet iconSet="3TrafficLights2">
        <cfvo type="percent" val="0"/>
        <cfvo type="num" val="0.98"/>
        <cfvo type="num" val="1"/>
      </iconSet>
    </cfRule>
  </conditionalFormatting>
  <conditionalFormatting sqref="AA44">
    <cfRule type="iconSet" priority="24">
      <iconSet iconSet="3TrafficLights2">
        <cfvo type="percent" val="0"/>
        <cfvo type="num" val="0.98"/>
        <cfvo type="num" val="1"/>
      </iconSet>
    </cfRule>
  </conditionalFormatting>
  <conditionalFormatting sqref="Z45">
    <cfRule type="iconSet" priority="23">
      <iconSet iconSet="3TrafficLights2">
        <cfvo type="percent" val="0"/>
        <cfvo type="num" val="0.98"/>
        <cfvo type="num" val="1"/>
      </iconSet>
    </cfRule>
  </conditionalFormatting>
  <conditionalFormatting sqref="AA45">
    <cfRule type="iconSet" priority="22">
      <iconSet iconSet="3TrafficLights2">
        <cfvo type="percent" val="0"/>
        <cfvo type="num" val="0.98"/>
        <cfvo type="num" val="1"/>
      </iconSet>
    </cfRule>
  </conditionalFormatting>
  <conditionalFormatting sqref="Z47">
    <cfRule type="iconSet" priority="21">
      <iconSet iconSet="3TrafficLights2">
        <cfvo type="percent" val="0"/>
        <cfvo type="num" val="0.98"/>
        <cfvo type="num" val="1"/>
      </iconSet>
    </cfRule>
  </conditionalFormatting>
  <conditionalFormatting sqref="AA47">
    <cfRule type="iconSet" priority="20">
      <iconSet iconSet="3TrafficLights2">
        <cfvo type="percent" val="0"/>
        <cfvo type="num" val="0.98"/>
        <cfvo type="num" val="1"/>
      </iconSet>
    </cfRule>
  </conditionalFormatting>
  <conditionalFormatting sqref="Z54">
    <cfRule type="iconSet" priority="19">
      <iconSet iconSet="3TrafficLights2">
        <cfvo type="percent" val="0"/>
        <cfvo type="num" val="0.98"/>
        <cfvo type="num" val="1"/>
      </iconSet>
    </cfRule>
  </conditionalFormatting>
  <conditionalFormatting sqref="AA54">
    <cfRule type="iconSet" priority="18">
      <iconSet iconSet="3TrafficLights2">
        <cfvo type="percent" val="0"/>
        <cfvo type="num" val="0.98"/>
        <cfvo type="num" val="1"/>
      </iconSet>
    </cfRule>
  </conditionalFormatting>
  <conditionalFormatting sqref="Z61">
    <cfRule type="iconSet" priority="17">
      <iconSet iconSet="3TrafficLights2">
        <cfvo type="percent" val="0"/>
        <cfvo type="num" val="0.98"/>
        <cfvo type="num" val="1"/>
      </iconSet>
    </cfRule>
  </conditionalFormatting>
  <conditionalFormatting sqref="AA61">
    <cfRule type="iconSet" priority="16">
      <iconSet iconSet="3TrafficLights2">
        <cfvo type="percent" val="0"/>
        <cfvo type="num" val="0.98"/>
        <cfvo type="num" val="1"/>
      </iconSet>
    </cfRule>
  </conditionalFormatting>
  <conditionalFormatting sqref="Z64">
    <cfRule type="iconSet" priority="15">
      <iconSet iconSet="3TrafficLights2">
        <cfvo type="percent" val="0"/>
        <cfvo type="num" val="0.98"/>
        <cfvo type="num" val="1"/>
      </iconSet>
    </cfRule>
  </conditionalFormatting>
  <conditionalFormatting sqref="AA64">
    <cfRule type="iconSet" priority="14">
      <iconSet iconSet="3TrafficLights2">
        <cfvo type="percent" val="0"/>
        <cfvo type="num" val="0.98"/>
        <cfvo type="num" val="1"/>
      </iconSet>
    </cfRule>
  </conditionalFormatting>
  <conditionalFormatting sqref="Z68">
    <cfRule type="iconSet" priority="13">
      <iconSet iconSet="3TrafficLights2">
        <cfvo type="percent" val="0"/>
        <cfvo type="num" val="0.98"/>
        <cfvo type="num" val="1"/>
      </iconSet>
    </cfRule>
  </conditionalFormatting>
  <conditionalFormatting sqref="AA68">
    <cfRule type="iconSet" priority="12">
      <iconSet iconSet="3TrafficLights2">
        <cfvo type="percent" val="0"/>
        <cfvo type="num" val="0.98"/>
        <cfvo type="num" val="1"/>
      </iconSet>
    </cfRule>
  </conditionalFormatting>
  <conditionalFormatting sqref="Z69">
    <cfRule type="iconSet" priority="11">
      <iconSet iconSet="3TrafficLights2">
        <cfvo type="percent" val="0"/>
        <cfvo type="num" val="0.98"/>
        <cfvo type="num" val="1"/>
      </iconSet>
    </cfRule>
  </conditionalFormatting>
  <conditionalFormatting sqref="AA69">
    <cfRule type="iconSet" priority="10">
      <iconSet iconSet="3TrafficLights2">
        <cfvo type="percent" val="0"/>
        <cfvo type="num" val="0.98"/>
        <cfvo type="num" val="1"/>
      </iconSet>
    </cfRule>
  </conditionalFormatting>
  <conditionalFormatting sqref="Z77:Z79">
    <cfRule type="iconSet" priority="9">
      <iconSet iconSet="3TrafficLights2">
        <cfvo type="percent" val="0"/>
        <cfvo type="num" val="0.98"/>
        <cfvo type="num" val="1"/>
      </iconSet>
    </cfRule>
  </conditionalFormatting>
  <conditionalFormatting sqref="AA77:AA79">
    <cfRule type="iconSet" priority="8">
      <iconSet iconSet="3TrafficLights2">
        <cfvo type="percent" val="0"/>
        <cfvo type="num" val="0.98"/>
        <cfvo type="num" val="1"/>
      </iconSet>
    </cfRule>
  </conditionalFormatting>
  <conditionalFormatting sqref="Z72">
    <cfRule type="iconSet" priority="7">
      <iconSet iconSet="3TrafficLights2">
        <cfvo type="percent" val="0"/>
        <cfvo type="num" val="0.98"/>
        <cfvo type="num" val="1"/>
      </iconSet>
    </cfRule>
  </conditionalFormatting>
  <conditionalFormatting sqref="AA72">
    <cfRule type="iconSet" priority="6">
      <iconSet iconSet="3TrafficLights2">
        <cfvo type="percent" val="0"/>
        <cfvo type="num" val="0.98"/>
        <cfvo type="num" val="1"/>
      </iconSet>
    </cfRule>
  </conditionalFormatting>
  <conditionalFormatting sqref="Z73">
    <cfRule type="iconSet" priority="5">
      <iconSet iconSet="3TrafficLights2">
        <cfvo type="percent" val="0"/>
        <cfvo type="num" val="0.98"/>
        <cfvo type="num" val="1"/>
      </iconSet>
    </cfRule>
  </conditionalFormatting>
  <conditionalFormatting sqref="AA73">
    <cfRule type="iconSet" priority="4">
      <iconSet iconSet="3TrafficLights2">
        <cfvo type="percent" val="0"/>
        <cfvo type="num" val="0.98"/>
        <cfvo type="num" val="1"/>
      </iconSet>
    </cfRule>
  </conditionalFormatting>
  <conditionalFormatting sqref="Z75">
    <cfRule type="iconSet" priority="3">
      <iconSet iconSet="3TrafficLights2">
        <cfvo type="percent" val="0"/>
        <cfvo type="num" val="0.98"/>
        <cfvo type="num" val="1"/>
      </iconSet>
    </cfRule>
  </conditionalFormatting>
  <conditionalFormatting sqref="AA75">
    <cfRule type="iconSet" priority="2">
      <iconSet iconSet="3TrafficLights2">
        <cfvo type="percent" val="0"/>
        <cfvo type="num" val="0.98"/>
        <cfvo type="num" val="1"/>
      </iconSet>
    </cfRule>
  </conditionalFormatting>
  <conditionalFormatting sqref="Z29:AA29">
    <cfRule type="iconSet" priority="1">
      <iconSet iconSet="3TrafficLights2">
        <cfvo type="percent" val="0"/>
        <cfvo type="num" val="0.98"/>
        <cfvo type="num" val="1"/>
      </iconSet>
    </cfRule>
  </conditionalFormatting>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filterMode="1"/>
  <dimension ref="A1:AO87"/>
  <sheetViews>
    <sheetView zoomScaleNormal="100" workbookViewId="0">
      <pane ySplit="4" topLeftCell="A50" activePane="bottomLeft" state="frozen"/>
      <selection activeCell="A3" sqref="A3"/>
      <selection pane="bottomLeft" activeCell="E61" sqref="E61"/>
    </sheetView>
  </sheetViews>
  <sheetFormatPr baseColWidth="10" defaultColWidth="8.7109375" defaultRowHeight="15" x14ac:dyDescent="0.25"/>
  <cols>
    <col min="1" max="1" width="12" customWidth="1"/>
    <col min="2" max="2" width="6" customWidth="1"/>
    <col min="3" max="3" width="6.28515625" customWidth="1"/>
    <col min="4" max="4" width="6.140625" customWidth="1"/>
    <col min="5" max="5" width="18.5703125" customWidth="1"/>
    <col min="6" max="6" width="6.5703125" customWidth="1"/>
    <col min="7" max="9" width="8.7109375" customWidth="1"/>
    <col min="10" max="11" width="8.7109375" style="5"/>
    <col min="12" max="13" width="8.7109375" style="5" customWidth="1"/>
    <col min="14" max="14" width="12.140625" style="5" customWidth="1"/>
    <col min="15" max="15" width="8.7109375" style="5" customWidth="1"/>
    <col min="16" max="16" width="8.7109375" style="235" customWidth="1"/>
    <col min="17" max="20" width="8.7109375" style="5" customWidth="1"/>
    <col min="21" max="22" width="8.7109375" style="5"/>
    <col min="23" max="23" width="10.7109375" style="5" customWidth="1"/>
    <col min="24" max="24" width="10.42578125" style="5" customWidth="1"/>
    <col min="25" max="25" width="12.7109375" style="5" bestFit="1" customWidth="1"/>
    <col min="26" max="26" width="13.140625" style="5" bestFit="1" customWidth="1"/>
    <col min="27" max="27" width="8.7109375" style="5"/>
    <col min="36" max="36" width="16.28515625" customWidth="1"/>
    <col min="38" max="38" width="56" customWidth="1"/>
  </cols>
  <sheetData>
    <row r="1" spans="1:39" ht="32.25" hidden="1" thickBot="1" x14ac:dyDescent="0.3">
      <c r="A1" s="1" t="s">
        <v>0</v>
      </c>
    </row>
    <row r="2" spans="1:39" ht="32.25" hidden="1" thickBot="1" x14ac:dyDescent="0.3">
      <c r="I2" s="1"/>
      <c r="J2" s="6"/>
      <c r="K2" s="6"/>
      <c r="L2" s="6"/>
      <c r="M2" s="7"/>
      <c r="N2" s="7"/>
      <c r="O2" s="7"/>
      <c r="P2" s="6"/>
      <c r="Q2" s="8"/>
      <c r="R2" s="8"/>
      <c r="S2" s="8"/>
      <c r="T2" s="8"/>
      <c r="U2" s="8"/>
      <c r="V2" s="8"/>
      <c r="W2" s="8"/>
      <c r="X2" s="149"/>
      <c r="Y2" s="8"/>
      <c r="Z2" s="8"/>
      <c r="AA2" s="8"/>
    </row>
    <row r="3" spans="1:39" ht="15" customHeight="1" thickBot="1" x14ac:dyDescent="0.3">
      <c r="E3" s="1"/>
      <c r="F3" s="1"/>
      <c r="G3" s="1"/>
      <c r="H3" s="1"/>
      <c r="I3" s="1"/>
      <c r="J3" s="6"/>
      <c r="K3" s="6"/>
      <c r="L3" s="802" t="s">
        <v>104</v>
      </c>
      <c r="M3" s="803"/>
      <c r="N3" s="804"/>
      <c r="O3" s="805" t="s">
        <v>106</v>
      </c>
      <c r="P3" s="805"/>
      <c r="Q3" s="805"/>
      <c r="R3" s="805"/>
      <c r="S3" s="805"/>
      <c r="T3" s="805"/>
      <c r="U3" s="802" t="s">
        <v>108</v>
      </c>
      <c r="V3" s="803"/>
      <c r="W3" s="803"/>
      <c r="X3" s="803"/>
      <c r="Y3" s="803"/>
      <c r="Z3" s="803"/>
      <c r="AA3" s="804"/>
    </row>
    <row r="4" spans="1:39" ht="75.75" thickBot="1" x14ac:dyDescent="0.3">
      <c r="A4" s="193" t="s">
        <v>259</v>
      </c>
      <c r="B4" s="194" t="s">
        <v>100</v>
      </c>
      <c r="C4" s="194" t="s">
        <v>122</v>
      </c>
      <c r="D4" s="194" t="s">
        <v>213</v>
      </c>
      <c r="E4" s="194" t="s">
        <v>83</v>
      </c>
      <c r="F4" s="194" t="s">
        <v>174</v>
      </c>
      <c r="G4" s="194" t="s">
        <v>176</v>
      </c>
      <c r="H4" s="194" t="s">
        <v>173</v>
      </c>
      <c r="I4" s="194" t="s">
        <v>172</v>
      </c>
      <c r="J4" s="195" t="s">
        <v>1</v>
      </c>
      <c r="K4" s="199" t="s">
        <v>215</v>
      </c>
      <c r="L4" s="208" t="s">
        <v>88</v>
      </c>
      <c r="M4" s="192" t="s">
        <v>80</v>
      </c>
      <c r="N4" s="209" t="s">
        <v>103</v>
      </c>
      <c r="O4" s="69" t="s">
        <v>89</v>
      </c>
      <c r="P4" s="69" t="s">
        <v>139</v>
      </c>
      <c r="Q4" s="67" t="s">
        <v>81</v>
      </c>
      <c r="R4" s="24" t="s">
        <v>141</v>
      </c>
      <c r="S4" s="24" t="s">
        <v>105</v>
      </c>
      <c r="T4" s="276" t="s">
        <v>153</v>
      </c>
      <c r="U4" s="283" t="s">
        <v>90</v>
      </c>
      <c r="V4" s="284" t="s">
        <v>140</v>
      </c>
      <c r="W4" s="284" t="s">
        <v>82</v>
      </c>
      <c r="X4" s="284" t="s">
        <v>142</v>
      </c>
      <c r="Y4" s="284" t="s">
        <v>107</v>
      </c>
      <c r="Z4" s="284" t="s">
        <v>153</v>
      </c>
      <c r="AA4" s="285" t="s">
        <v>114</v>
      </c>
      <c r="AB4" s="250" t="s">
        <v>143</v>
      </c>
      <c r="AC4" s="24" t="s">
        <v>144</v>
      </c>
      <c r="AD4" s="284" t="s">
        <v>270</v>
      </c>
      <c r="AE4" s="284" t="s">
        <v>271</v>
      </c>
      <c r="AF4" s="284" t="s">
        <v>272</v>
      </c>
      <c r="AG4" s="284" t="s">
        <v>153</v>
      </c>
      <c r="AH4" s="80" t="s">
        <v>145</v>
      </c>
      <c r="AI4" s="69" t="s">
        <v>102</v>
      </c>
      <c r="AJ4" s="105" t="s">
        <v>85</v>
      </c>
      <c r="AK4" s="80"/>
      <c r="AL4" s="80" t="s">
        <v>214</v>
      </c>
    </row>
    <row r="5" spans="1:39" ht="315" hidden="1" x14ac:dyDescent="0.25">
      <c r="A5" s="196" t="s">
        <v>110</v>
      </c>
      <c r="B5" s="46" t="s">
        <v>101</v>
      </c>
      <c r="C5" s="59" t="s">
        <v>123</v>
      </c>
      <c r="D5" s="46" t="s">
        <v>211</v>
      </c>
      <c r="E5" s="2" t="s">
        <v>2</v>
      </c>
      <c r="F5" s="46" t="s">
        <v>185</v>
      </c>
      <c r="G5" s="46" t="s">
        <v>177</v>
      </c>
      <c r="H5" s="46" t="s">
        <v>184</v>
      </c>
      <c r="I5" s="59" t="s">
        <v>186</v>
      </c>
      <c r="J5" s="32">
        <v>0.83</v>
      </c>
      <c r="K5" s="168">
        <v>0.77300000000000002</v>
      </c>
      <c r="L5" s="47">
        <v>0.79600000000000004</v>
      </c>
      <c r="M5" s="32">
        <v>0.77810000000000001</v>
      </c>
      <c r="N5" s="123">
        <f>+M5/L5</f>
        <v>0.97751256281407028</v>
      </c>
      <c r="O5" s="157">
        <v>0.80400000000000005</v>
      </c>
      <c r="P5" s="229">
        <v>0.80400000000000005</v>
      </c>
      <c r="Q5" s="110">
        <v>0.79479999999999995</v>
      </c>
      <c r="R5" s="110">
        <v>0.79479999999999995</v>
      </c>
      <c r="S5" s="112">
        <f>+Q5/O5</f>
        <v>0.98855721393034812</v>
      </c>
      <c r="T5" s="122">
        <f>+R5/$P5</f>
        <v>0.98855721393034812</v>
      </c>
      <c r="U5" s="277">
        <v>0.81899999999999995</v>
      </c>
      <c r="V5" s="278">
        <v>0.81899999999999995</v>
      </c>
      <c r="W5" s="324">
        <v>0.80110000000000003</v>
      </c>
      <c r="X5" s="280">
        <v>0.80110000000000003</v>
      </c>
      <c r="Y5" s="281">
        <f>+W5/U5</f>
        <v>0.97814407814407822</v>
      </c>
      <c r="Z5" s="281">
        <f>+X5/$V5</f>
        <v>0.97814407814407822</v>
      </c>
      <c r="AA5" s="282" t="s">
        <v>146</v>
      </c>
      <c r="AB5" s="251">
        <v>0.83</v>
      </c>
      <c r="AC5" s="111">
        <f>+J5</f>
        <v>0.83</v>
      </c>
      <c r="AD5" s="169"/>
      <c r="AE5" s="169"/>
      <c r="AF5" s="169"/>
      <c r="AG5" s="169"/>
      <c r="AH5" s="169">
        <f t="shared" ref="AH5:AH11" si="0">+AC5-X5</f>
        <v>2.8899999999999926E-2</v>
      </c>
      <c r="AI5" s="71"/>
      <c r="AJ5" s="269" t="s">
        <v>92</v>
      </c>
      <c r="AK5" s="246"/>
      <c r="AL5" s="173" t="s">
        <v>217</v>
      </c>
    </row>
    <row r="6" spans="1:39" ht="150" hidden="1" x14ac:dyDescent="0.25">
      <c r="A6" s="196" t="s">
        <v>110</v>
      </c>
      <c r="B6" s="46" t="s">
        <v>101</v>
      </c>
      <c r="C6" s="59" t="s">
        <v>123</v>
      </c>
      <c r="D6" s="46" t="s">
        <v>211</v>
      </c>
      <c r="E6" s="2" t="s">
        <v>3</v>
      </c>
      <c r="F6" s="46" t="s">
        <v>185</v>
      </c>
      <c r="G6" s="46" t="s">
        <v>177</v>
      </c>
      <c r="H6" s="46" t="s">
        <v>184</v>
      </c>
      <c r="I6" s="59" t="s">
        <v>186</v>
      </c>
      <c r="J6" s="32">
        <v>0.45</v>
      </c>
      <c r="K6" s="168">
        <v>0.372</v>
      </c>
      <c r="L6" s="47">
        <v>0.39219999999999999</v>
      </c>
      <c r="M6" s="32">
        <v>0.39700000000000002</v>
      </c>
      <c r="N6" s="123">
        <f>+M6/L6</f>
        <v>1.0122386537480879</v>
      </c>
      <c r="O6" s="158">
        <v>0.41149999999999998</v>
      </c>
      <c r="P6" s="230">
        <v>0.41149999999999998</v>
      </c>
      <c r="Q6" s="32">
        <v>0.435</v>
      </c>
      <c r="R6" s="32">
        <v>0.435</v>
      </c>
      <c r="S6" s="30">
        <f>+Q6/O6</f>
        <v>1.0571081409477521</v>
      </c>
      <c r="T6" s="123">
        <f>+R6/$P6</f>
        <v>1.0571081409477521</v>
      </c>
      <c r="U6" s="51">
        <v>0.43009999999999998</v>
      </c>
      <c r="V6" s="33">
        <v>0.43009999999999998</v>
      </c>
      <c r="W6" s="279" t="s">
        <v>278</v>
      </c>
      <c r="X6" s="89" t="s">
        <v>278</v>
      </c>
      <c r="Y6" s="30" t="e">
        <f t="shared" ref="Y6:Y36" si="1">+W6/U6</f>
        <v>#VALUE!</v>
      </c>
      <c r="Z6" s="30" t="e">
        <f>+X6/$V6</f>
        <v>#VALUE!</v>
      </c>
      <c r="AA6" s="123" t="s">
        <v>146</v>
      </c>
      <c r="AB6" s="252">
        <v>0.45</v>
      </c>
      <c r="AC6" s="33">
        <f>+J6</f>
        <v>0.45</v>
      </c>
      <c r="AD6" s="168"/>
      <c r="AE6" s="168"/>
      <c r="AF6" s="168"/>
      <c r="AG6" s="168"/>
      <c r="AH6" s="168" t="e">
        <f t="shared" si="0"/>
        <v>#VALUE!</v>
      </c>
      <c r="AI6" s="70" t="s">
        <v>154</v>
      </c>
      <c r="AJ6" s="270" t="s">
        <v>92</v>
      </c>
      <c r="AK6" s="168"/>
      <c r="AL6" s="68"/>
    </row>
    <row r="7" spans="1:39" ht="99" hidden="1" customHeight="1" x14ac:dyDescent="0.25">
      <c r="A7" s="196" t="s">
        <v>110</v>
      </c>
      <c r="B7" s="46" t="s">
        <v>101</v>
      </c>
      <c r="C7" s="59" t="s">
        <v>123</v>
      </c>
      <c r="D7" s="46" t="s">
        <v>211</v>
      </c>
      <c r="E7" s="2" t="s">
        <v>4</v>
      </c>
      <c r="F7" s="46" t="s">
        <v>185</v>
      </c>
      <c r="G7" s="46" t="s">
        <v>177</v>
      </c>
      <c r="H7" s="46" t="s">
        <v>184</v>
      </c>
      <c r="I7" s="59" t="s">
        <v>183</v>
      </c>
      <c r="J7" s="32">
        <v>0.93</v>
      </c>
      <c r="K7" s="168">
        <v>0.871</v>
      </c>
      <c r="L7" s="47">
        <v>0.8901</v>
      </c>
      <c r="M7" s="32">
        <v>0.86770000000000003</v>
      </c>
      <c r="N7" s="123">
        <f>+M7/L7</f>
        <v>0.97483428828221552</v>
      </c>
      <c r="O7" s="158">
        <v>0.91090000000000004</v>
      </c>
      <c r="P7" s="230">
        <v>0.91090000000000004</v>
      </c>
      <c r="Q7" s="32">
        <v>0.86699999999999999</v>
      </c>
      <c r="R7" s="31">
        <v>0.86699999999999999</v>
      </c>
      <c r="S7" s="30">
        <f>+Q7/O7</f>
        <v>0.95180590624656924</v>
      </c>
      <c r="T7" s="123">
        <f t="shared" ref="T7:T67" si="2">+R7/$P7</f>
        <v>0.95180590624656924</v>
      </c>
      <c r="U7" s="51">
        <v>0.91681999999999997</v>
      </c>
      <c r="V7" s="34">
        <v>0.91681999999999997</v>
      </c>
      <c r="W7" s="324">
        <v>0.86040000000000005</v>
      </c>
      <c r="X7" s="60">
        <v>0.86040000000000005</v>
      </c>
      <c r="Y7" s="30">
        <f t="shared" si="1"/>
        <v>0.938461202853341</v>
      </c>
      <c r="Z7" s="30">
        <f>+X7/$V7</f>
        <v>0.938461202853341</v>
      </c>
      <c r="AA7" s="123" t="s">
        <v>146</v>
      </c>
      <c r="AB7" s="252">
        <v>0.93</v>
      </c>
      <c r="AC7" s="33">
        <f>+J7</f>
        <v>0.93</v>
      </c>
      <c r="AD7" s="168"/>
      <c r="AE7" s="168"/>
      <c r="AF7" s="168"/>
      <c r="AG7" s="168"/>
      <c r="AH7" s="168">
        <f t="shared" si="0"/>
        <v>6.9599999999999995E-2</v>
      </c>
      <c r="AI7" s="70" t="s">
        <v>154</v>
      </c>
      <c r="AJ7" s="270" t="s">
        <v>92</v>
      </c>
      <c r="AK7" s="168"/>
      <c r="AL7" s="68"/>
    </row>
    <row r="8" spans="1:39" ht="150" hidden="1" x14ac:dyDescent="0.25">
      <c r="A8" s="248" t="s">
        <v>110</v>
      </c>
      <c r="B8" s="46" t="s">
        <v>101</v>
      </c>
      <c r="C8" s="59" t="s">
        <v>123</v>
      </c>
      <c r="D8" s="46" t="s">
        <v>211</v>
      </c>
      <c r="E8" s="2" t="s">
        <v>5</v>
      </c>
      <c r="F8" s="46" t="s">
        <v>185</v>
      </c>
      <c r="G8" s="46" t="s">
        <v>177</v>
      </c>
      <c r="H8" s="46" t="s">
        <v>187</v>
      </c>
      <c r="I8" s="59" t="s">
        <v>183</v>
      </c>
      <c r="J8" s="13">
        <v>2.5000000000000001E-2</v>
      </c>
      <c r="K8" s="168">
        <v>3.1E-2</v>
      </c>
      <c r="L8" s="50">
        <v>3.0300000000000001E-2</v>
      </c>
      <c r="M8" s="13">
        <v>3.2599999999999997E-2</v>
      </c>
      <c r="N8" s="123">
        <f>(K8-M8)/(K8-L8)</f>
        <v>-2.2857142857142843</v>
      </c>
      <c r="O8" s="158">
        <v>2.9499999999999998E-2</v>
      </c>
      <c r="P8" s="150">
        <v>2.9499999999999998E-2</v>
      </c>
      <c r="Q8" s="32">
        <v>3.7199999999999997E-2</v>
      </c>
      <c r="R8" s="14">
        <v>3.7199999999999997E-2</v>
      </c>
      <c r="S8" s="30">
        <f>+(K8-Q8)/(K8-O8)</f>
        <v>-4.1333333333333275</v>
      </c>
      <c r="T8" s="123">
        <f>+(K8-R8)/(K8-J8)</f>
        <v>-1.0333333333333332</v>
      </c>
      <c r="U8" s="51">
        <v>2.8799999999999999E-2</v>
      </c>
      <c r="V8" s="83">
        <v>2.8799999999999999E-2</v>
      </c>
      <c r="W8" s="324">
        <v>3.0800000000000001E-2</v>
      </c>
      <c r="X8" s="60">
        <v>3.0800000000000001E-2</v>
      </c>
      <c r="Y8" s="30">
        <f>+(K8-W8)/(K8-U8)</f>
        <v>9.0909090909090329E-2</v>
      </c>
      <c r="Z8" s="30">
        <f>(K8-X8)/(K8-V8)</f>
        <v>9.0909090909090329E-2</v>
      </c>
      <c r="AA8" s="123" t="s">
        <v>146</v>
      </c>
      <c r="AB8" s="253">
        <v>2.5000000000000001E-2</v>
      </c>
      <c r="AC8" s="26">
        <f>+J8</f>
        <v>2.5000000000000001E-2</v>
      </c>
      <c r="AD8" s="167"/>
      <c r="AE8" s="167"/>
      <c r="AF8" s="30">
        <f>(K8-AD8)/(K8-AB8)</f>
        <v>5.1666666666666679</v>
      </c>
      <c r="AG8" s="30">
        <f>+(K8-AE8)/(K8-AC8)</f>
        <v>5.1666666666666679</v>
      </c>
      <c r="AH8" s="167">
        <f t="shared" si="0"/>
        <v>-5.7999999999999996E-3</v>
      </c>
      <c r="AI8" s="70" t="s">
        <v>154</v>
      </c>
      <c r="AJ8" s="270" t="s">
        <v>92</v>
      </c>
      <c r="AK8" s="167"/>
      <c r="AL8" s="68"/>
    </row>
    <row r="9" spans="1:39" ht="150" hidden="1" x14ac:dyDescent="0.25">
      <c r="A9" s="196" t="s">
        <v>110</v>
      </c>
      <c r="B9" s="46" t="s">
        <v>101</v>
      </c>
      <c r="C9" s="59" t="s">
        <v>123</v>
      </c>
      <c r="D9" s="46" t="s">
        <v>212</v>
      </c>
      <c r="E9" s="216" t="s">
        <v>156</v>
      </c>
      <c r="F9" s="46" t="s">
        <v>185</v>
      </c>
      <c r="G9" s="46" t="s">
        <v>177</v>
      </c>
      <c r="H9" s="46" t="s">
        <v>184</v>
      </c>
      <c r="I9" s="59" t="s">
        <v>186</v>
      </c>
      <c r="J9" s="13">
        <v>0.69</v>
      </c>
      <c r="K9" s="168">
        <v>0.621</v>
      </c>
      <c r="L9" s="50">
        <v>0.63278000000000001</v>
      </c>
      <c r="M9" s="14">
        <v>0.63139999999999996</v>
      </c>
      <c r="N9" s="123">
        <f>+M9/L9</f>
        <v>0.99781914725497001</v>
      </c>
      <c r="O9" s="158">
        <v>0.65627000000000002</v>
      </c>
      <c r="P9" s="231">
        <v>0.65629999999999999</v>
      </c>
      <c r="Q9" s="32">
        <v>0.64980000000000004</v>
      </c>
      <c r="R9" s="14">
        <v>0.64980000000000004</v>
      </c>
      <c r="S9" s="30">
        <f t="shared" ref="S9:S28" si="3">+Q9/O9</f>
        <v>0.9901412528380088</v>
      </c>
      <c r="T9" s="123">
        <f>+R9/$P9</f>
        <v>0.99009599268627158</v>
      </c>
      <c r="U9" s="51">
        <v>0.67976000000000003</v>
      </c>
      <c r="V9" s="83">
        <v>0.67976000000000003</v>
      </c>
      <c r="W9" s="279" t="s">
        <v>278</v>
      </c>
      <c r="X9" s="89" t="s">
        <v>278</v>
      </c>
      <c r="Y9" s="30" t="e">
        <f t="shared" si="1"/>
        <v>#VALUE!</v>
      </c>
      <c r="Z9" s="30" t="e">
        <f>+X9/$V9</f>
        <v>#VALUE!</v>
      </c>
      <c r="AA9" s="123" t="s">
        <v>146</v>
      </c>
      <c r="AB9" s="252">
        <v>0.69</v>
      </c>
      <c r="AC9" s="26">
        <f>+J9</f>
        <v>0.69</v>
      </c>
      <c r="AD9" s="167"/>
      <c r="AE9" s="167"/>
      <c r="AF9" s="167"/>
      <c r="AG9" s="167"/>
      <c r="AH9" s="167" t="e">
        <f t="shared" si="0"/>
        <v>#VALUE!</v>
      </c>
      <c r="AI9" s="70" t="s">
        <v>154</v>
      </c>
      <c r="AJ9" s="270" t="s">
        <v>92</v>
      </c>
      <c r="AK9" s="167"/>
      <c r="AL9" s="68"/>
    </row>
    <row r="10" spans="1:39" ht="135.75" hidden="1" customHeight="1" x14ac:dyDescent="0.25">
      <c r="A10" s="196" t="s">
        <v>110</v>
      </c>
      <c r="B10" s="46" t="s">
        <v>101</v>
      </c>
      <c r="C10" s="59" t="s">
        <v>124</v>
      </c>
      <c r="D10" s="46" t="s">
        <v>211</v>
      </c>
      <c r="E10" s="2" t="s">
        <v>7</v>
      </c>
      <c r="F10" s="46" t="s">
        <v>175</v>
      </c>
      <c r="G10" s="46" t="s">
        <v>177</v>
      </c>
      <c r="H10" s="46" t="s">
        <v>188</v>
      </c>
      <c r="I10" s="59" t="s">
        <v>189</v>
      </c>
      <c r="J10" s="29">
        <v>1000</v>
      </c>
      <c r="K10" s="200">
        <v>168</v>
      </c>
      <c r="L10" s="79">
        <v>150</v>
      </c>
      <c r="M10" s="17">
        <v>486</v>
      </c>
      <c r="N10" s="123">
        <f>+M10/L10</f>
        <v>3.24</v>
      </c>
      <c r="O10" s="180">
        <v>300</v>
      </c>
      <c r="P10" s="232">
        <f>+L10+O10</f>
        <v>450</v>
      </c>
      <c r="Q10" s="18">
        <f>248</f>
        <v>248</v>
      </c>
      <c r="R10" s="18">
        <f>+M10+Q10</f>
        <v>734</v>
      </c>
      <c r="S10" s="32">
        <f t="shared" si="3"/>
        <v>0.82666666666666666</v>
      </c>
      <c r="T10" s="123">
        <f t="shared" si="2"/>
        <v>1.6311111111111112</v>
      </c>
      <c r="U10" s="56">
        <f>350</f>
        <v>350</v>
      </c>
      <c r="V10" s="36">
        <v>350</v>
      </c>
      <c r="W10" s="307" t="s">
        <v>278</v>
      </c>
      <c r="X10" s="310" t="s">
        <v>278</v>
      </c>
      <c r="Y10" s="30" t="e">
        <f t="shared" si="1"/>
        <v>#VALUE!</v>
      </c>
      <c r="Z10" s="30" t="e">
        <f>+X10/$V10</f>
        <v>#VALUE!</v>
      </c>
      <c r="AA10" s="126" t="s">
        <v>115</v>
      </c>
      <c r="AB10" s="254">
        <v>200</v>
      </c>
      <c r="AC10" s="35">
        <f>+L10+O10+U10+AB10</f>
        <v>1000</v>
      </c>
      <c r="AD10" s="165"/>
      <c r="AE10" s="165"/>
      <c r="AF10" s="165"/>
      <c r="AG10" s="165"/>
      <c r="AH10" s="165" t="e">
        <f t="shared" si="0"/>
        <v>#VALUE!</v>
      </c>
      <c r="AI10" s="70"/>
      <c r="AJ10" s="270"/>
      <c r="AK10" s="165"/>
      <c r="AL10" s="68"/>
    </row>
    <row r="11" spans="1:39" ht="165" hidden="1" x14ac:dyDescent="0.25">
      <c r="A11" s="196" t="s">
        <v>110</v>
      </c>
      <c r="B11" s="46" t="s">
        <v>101</v>
      </c>
      <c r="C11" s="59" t="s">
        <v>125</v>
      </c>
      <c r="D11" s="46" t="s">
        <v>211</v>
      </c>
      <c r="E11" s="2" t="s">
        <v>8</v>
      </c>
      <c r="F11" s="46" t="s">
        <v>185</v>
      </c>
      <c r="G11" s="46" t="s">
        <v>177</v>
      </c>
      <c r="H11" s="46" t="s">
        <v>184</v>
      </c>
      <c r="I11" s="59" t="s">
        <v>183</v>
      </c>
      <c r="J11" s="13">
        <v>0.45</v>
      </c>
      <c r="K11" s="168">
        <v>0.371</v>
      </c>
      <c r="L11" s="50">
        <v>0.38854</v>
      </c>
      <c r="M11" s="14">
        <v>0.42159999999999997</v>
      </c>
      <c r="N11" s="123">
        <f>+M11/L11</f>
        <v>1.0850877644515364</v>
      </c>
      <c r="O11" s="158">
        <v>0.40622999999999998</v>
      </c>
      <c r="P11" s="231">
        <v>0.40620000000000001</v>
      </c>
      <c r="Q11" s="32">
        <f>+R11-M11</f>
        <v>-3.9599999999999969E-2</v>
      </c>
      <c r="R11" s="14">
        <v>0.38200000000000001</v>
      </c>
      <c r="S11" s="30">
        <f t="shared" si="3"/>
        <v>-9.7481722177091723E-2</v>
      </c>
      <c r="T11" s="123">
        <f t="shared" si="2"/>
        <v>0.94042343673067452</v>
      </c>
      <c r="U11" s="51">
        <v>0.42392000000000002</v>
      </c>
      <c r="V11" s="83">
        <v>0.42392000000000002</v>
      </c>
      <c r="W11" s="307" t="s">
        <v>278</v>
      </c>
      <c r="X11" s="89" t="s">
        <v>278</v>
      </c>
      <c r="Y11" s="30" t="e">
        <f t="shared" si="1"/>
        <v>#VALUE!</v>
      </c>
      <c r="Z11" s="30" t="e">
        <f>+X11/$V11</f>
        <v>#VALUE!</v>
      </c>
      <c r="AA11" s="123" t="s">
        <v>146</v>
      </c>
      <c r="AB11" s="252">
        <v>0.45</v>
      </c>
      <c r="AC11" s="26">
        <f t="shared" ref="AC11:AC30" si="4">+J11</f>
        <v>0.45</v>
      </c>
      <c r="AD11" s="167"/>
      <c r="AE11" s="167"/>
      <c r="AF11" s="167"/>
      <c r="AG11" s="167"/>
      <c r="AH11" s="167" t="e">
        <f t="shared" si="0"/>
        <v>#VALUE!</v>
      </c>
      <c r="AI11" s="70" t="s">
        <v>113</v>
      </c>
      <c r="AJ11" s="270" t="s">
        <v>93</v>
      </c>
      <c r="AK11" s="167"/>
      <c r="AL11" s="68"/>
    </row>
    <row r="12" spans="1:39" ht="165" hidden="1" x14ac:dyDescent="0.25">
      <c r="A12" s="196" t="s">
        <v>110</v>
      </c>
      <c r="B12" s="46" t="s">
        <v>101</v>
      </c>
      <c r="C12" s="59" t="s">
        <v>125</v>
      </c>
      <c r="D12" s="46" t="s">
        <v>212</v>
      </c>
      <c r="E12" s="217" t="s">
        <v>9</v>
      </c>
      <c r="F12" s="46" t="s">
        <v>185</v>
      </c>
      <c r="G12" s="46" t="s">
        <v>177</v>
      </c>
      <c r="H12" s="46" t="s">
        <v>184</v>
      </c>
      <c r="I12" s="59" t="s">
        <v>183</v>
      </c>
      <c r="J12" s="13">
        <v>0.42</v>
      </c>
      <c r="K12" s="168">
        <v>0.35699999999999998</v>
      </c>
      <c r="L12" s="50">
        <v>0.37385000000000002</v>
      </c>
      <c r="M12" s="14">
        <v>0.42659999999999998</v>
      </c>
      <c r="N12" s="123">
        <f>+M12/L12</f>
        <v>1.1410993714056439</v>
      </c>
      <c r="O12" s="158">
        <v>0.39087</v>
      </c>
      <c r="P12" s="231">
        <v>0.39090000000000003</v>
      </c>
      <c r="Q12" s="32">
        <v>0.39400000000000002</v>
      </c>
      <c r="R12" s="14">
        <v>0.39400000000000002</v>
      </c>
      <c r="S12" s="30">
        <f t="shared" si="3"/>
        <v>1.0080077775219383</v>
      </c>
      <c r="T12" s="123">
        <f t="shared" si="2"/>
        <v>1.0079304169864416</v>
      </c>
      <c r="U12" s="51">
        <v>0.40788999999999997</v>
      </c>
      <c r="V12" s="83">
        <v>0.40788999999999997</v>
      </c>
      <c r="W12" s="307" t="s">
        <v>278</v>
      </c>
      <c r="X12" s="89" t="s">
        <v>278</v>
      </c>
      <c r="Y12" s="30" t="e">
        <f t="shared" si="1"/>
        <v>#VALUE!</v>
      </c>
      <c r="Z12" s="30" t="e">
        <f>+X12/$V12</f>
        <v>#VALUE!</v>
      </c>
      <c r="AA12" s="123" t="s">
        <v>146</v>
      </c>
      <c r="AB12" s="252">
        <v>0.42</v>
      </c>
      <c r="AC12" s="26">
        <f t="shared" si="4"/>
        <v>0.42</v>
      </c>
      <c r="AD12" s="167"/>
      <c r="AE12" s="167"/>
      <c r="AF12" s="167"/>
      <c r="AG12" s="167"/>
      <c r="AH12" s="167">
        <v>0.42</v>
      </c>
      <c r="AI12" s="70" t="s">
        <v>113</v>
      </c>
      <c r="AJ12" s="270" t="s">
        <v>93</v>
      </c>
      <c r="AK12" s="167"/>
      <c r="AL12" s="68"/>
    </row>
    <row r="13" spans="1:39" ht="285" hidden="1" x14ac:dyDescent="0.25">
      <c r="A13" s="196" t="s">
        <v>110</v>
      </c>
      <c r="B13" s="46" t="s">
        <v>101</v>
      </c>
      <c r="C13" s="59" t="s">
        <v>126</v>
      </c>
      <c r="D13" s="46" t="s">
        <v>212</v>
      </c>
      <c r="E13" s="218" t="s">
        <v>10</v>
      </c>
      <c r="F13" s="46" t="s">
        <v>185</v>
      </c>
      <c r="G13" s="46" t="s">
        <v>177</v>
      </c>
      <c r="H13" s="46" t="s">
        <v>187</v>
      </c>
      <c r="I13" s="59" t="s">
        <v>186</v>
      </c>
      <c r="J13" s="32">
        <v>5.1700000000000003E-2</v>
      </c>
      <c r="K13" s="168">
        <v>5.8099999999999999E-2</v>
      </c>
      <c r="L13" s="47">
        <v>5.3539999999999997E-2</v>
      </c>
      <c r="M13" s="31">
        <v>5.7500000000000002E-2</v>
      </c>
      <c r="N13" s="123">
        <f>(K13-M13)/(K13-L13)</f>
        <v>0.13157894736842021</v>
      </c>
      <c r="O13" s="158">
        <v>4.897E-2</v>
      </c>
      <c r="P13" s="48">
        <v>4.9000000000000002E-2</v>
      </c>
      <c r="Q13" s="32">
        <v>5.3499999999999999E-2</v>
      </c>
      <c r="R13" s="31">
        <v>5.3499999999999999E-2</v>
      </c>
      <c r="S13" s="30">
        <f>+(K13-Q13)/(K13-O13)</f>
        <v>0.50383351588170866</v>
      </c>
      <c r="T13" s="123">
        <f>+(K13-R13)/(K13-J13)</f>
        <v>0.71875000000000044</v>
      </c>
      <c r="U13" s="51">
        <v>5.2499999999999998E-2</v>
      </c>
      <c r="V13" s="34">
        <v>5.2499999999999998E-2</v>
      </c>
      <c r="W13" s="311">
        <v>5.2400000000000002E-2</v>
      </c>
      <c r="X13" s="40">
        <v>5.2400000000000002E-2</v>
      </c>
      <c r="Y13" s="30">
        <f>+(K13-W13)/(K13-U13)</f>
        <v>1.0178571428571421</v>
      </c>
      <c r="Z13" s="30">
        <f>(K13-X13)/(K13-V13)</f>
        <v>1.0178571428571421</v>
      </c>
      <c r="AA13" s="123" t="s">
        <v>116</v>
      </c>
      <c r="AB13" s="252">
        <v>5.1700000000000003E-2</v>
      </c>
      <c r="AC13" s="33">
        <f t="shared" si="4"/>
        <v>5.1700000000000003E-2</v>
      </c>
      <c r="AD13" s="168">
        <v>0</v>
      </c>
      <c r="AE13" s="168">
        <v>5.2400000000000002E-2</v>
      </c>
      <c r="AF13" s="30">
        <f>(K13-AD13)/(K13-AB13)</f>
        <v>9.0781250000000053</v>
      </c>
      <c r="AG13" s="30">
        <f>+(K13-AE13)/(K13-AC13)</f>
        <v>0.890625</v>
      </c>
      <c r="AH13" s="168">
        <v>5.1700000000000003E-2</v>
      </c>
      <c r="AI13" s="70"/>
      <c r="AJ13" s="270"/>
      <c r="AK13" s="168"/>
      <c r="AL13" s="173" t="s">
        <v>218</v>
      </c>
      <c r="AM13" t="s">
        <v>277</v>
      </c>
    </row>
    <row r="14" spans="1:39" ht="409.5" hidden="1" x14ac:dyDescent="0.25">
      <c r="A14" s="196" t="s">
        <v>110</v>
      </c>
      <c r="B14" s="46" t="s">
        <v>101</v>
      </c>
      <c r="C14" s="59" t="s">
        <v>126</v>
      </c>
      <c r="D14" s="46" t="s">
        <v>212</v>
      </c>
      <c r="E14" s="218" t="s">
        <v>11</v>
      </c>
      <c r="F14" s="46" t="s">
        <v>191</v>
      </c>
      <c r="G14" s="46" t="s">
        <v>177</v>
      </c>
      <c r="H14" s="46" t="s">
        <v>190</v>
      </c>
      <c r="I14" s="59" t="s">
        <v>192</v>
      </c>
      <c r="J14" s="29">
        <f>419082+357218</f>
        <v>776300</v>
      </c>
      <c r="K14" s="200">
        <v>419082</v>
      </c>
      <c r="L14" s="49">
        <f>121397+419082</f>
        <v>540479</v>
      </c>
      <c r="M14" s="19">
        <f>419082+71577</f>
        <v>490659</v>
      </c>
      <c r="N14" s="123">
        <f>+M14/L14</f>
        <v>0.90782250559226163</v>
      </c>
      <c r="O14" s="161">
        <f>292218+419082</f>
        <v>711300</v>
      </c>
      <c r="P14" s="144">
        <v>292218</v>
      </c>
      <c r="Q14" s="19">
        <f>85159</f>
        <v>85159</v>
      </c>
      <c r="R14" s="27">
        <f>+M14+Q14</f>
        <v>575818</v>
      </c>
      <c r="S14" s="30">
        <f t="shared" si="3"/>
        <v>0.11972304231688458</v>
      </c>
      <c r="T14" s="123">
        <f t="shared" si="2"/>
        <v>1.9705083191316073</v>
      </c>
      <c r="U14" s="56">
        <v>327218</v>
      </c>
      <c r="V14" s="36">
        <f>327218+419082</f>
        <v>746300</v>
      </c>
      <c r="W14" s="66">
        <v>628452</v>
      </c>
      <c r="X14" s="66">
        <v>628452</v>
      </c>
      <c r="Y14" s="30">
        <f>+W14/U14</f>
        <v>1.9205911655226791</v>
      </c>
      <c r="Z14" s="30">
        <f>+X14/$V14</f>
        <v>0.84209031220688735</v>
      </c>
      <c r="AA14" s="123" t="s">
        <v>116</v>
      </c>
      <c r="AB14" s="255">
        <v>357218</v>
      </c>
      <c r="AC14" s="35">
        <f t="shared" si="4"/>
        <v>776300</v>
      </c>
      <c r="AD14" s="165"/>
      <c r="AE14" s="165"/>
      <c r="AF14" s="165"/>
      <c r="AG14" s="165"/>
      <c r="AH14" s="165">
        <f>+AC14-X14</f>
        <v>147848</v>
      </c>
      <c r="AI14" s="70" t="s">
        <v>113</v>
      </c>
      <c r="AJ14" s="270"/>
      <c r="AK14" s="165"/>
      <c r="AL14" s="173" t="s">
        <v>219</v>
      </c>
    </row>
    <row r="15" spans="1:39" ht="270" hidden="1" x14ac:dyDescent="0.25">
      <c r="A15" s="196" t="s">
        <v>110</v>
      </c>
      <c r="B15" s="46" t="s">
        <v>101</v>
      </c>
      <c r="C15" s="59" t="s">
        <v>123</v>
      </c>
      <c r="D15" s="46" t="s">
        <v>211</v>
      </c>
      <c r="E15" s="3" t="s">
        <v>12</v>
      </c>
      <c r="F15" s="46" t="s">
        <v>175</v>
      </c>
      <c r="G15" s="46" t="s">
        <v>177</v>
      </c>
      <c r="H15" s="46" t="s">
        <v>184</v>
      </c>
      <c r="I15" s="59" t="s">
        <v>186</v>
      </c>
      <c r="J15" s="184">
        <v>0.75670000000000004</v>
      </c>
      <c r="K15" s="201">
        <v>0.7147</v>
      </c>
      <c r="L15" s="210">
        <v>0.71479999999999999</v>
      </c>
      <c r="M15" s="32">
        <v>0.72970000000000002</v>
      </c>
      <c r="N15" s="123">
        <f t="shared" ref="N15:N39" si="5">+M15/L15</f>
        <v>1.0208449916060436</v>
      </c>
      <c r="O15" s="221">
        <v>0.72319999999999995</v>
      </c>
      <c r="P15" s="48">
        <v>0.72319999999999995</v>
      </c>
      <c r="Q15" s="32">
        <v>0.75239999999999996</v>
      </c>
      <c r="R15" s="32">
        <v>0.75239999999999996</v>
      </c>
      <c r="S15" s="30">
        <f t="shared" si="3"/>
        <v>1.0403761061946903</v>
      </c>
      <c r="T15" s="123">
        <f>+R15/$P15</f>
        <v>1.0403761061946903</v>
      </c>
      <c r="U15" s="210">
        <v>0.74329999999999996</v>
      </c>
      <c r="V15" s="34">
        <v>0.74329999999999996</v>
      </c>
      <c r="W15" s="325">
        <v>0.76570000000000005</v>
      </c>
      <c r="X15" s="60">
        <v>0.76570000000000005</v>
      </c>
      <c r="Y15" s="30">
        <f t="shared" si="1"/>
        <v>1.0301358805327594</v>
      </c>
      <c r="Z15" s="30">
        <f t="shared" ref="Z15:Z39" si="6">+X15/$V15</f>
        <v>1.0301358805327594</v>
      </c>
      <c r="AA15" s="123" t="s">
        <v>146</v>
      </c>
      <c r="AB15" s="256">
        <v>0.75670000000000004</v>
      </c>
      <c r="AC15" s="33">
        <f t="shared" si="4"/>
        <v>0.75670000000000004</v>
      </c>
      <c r="AD15" s="168"/>
      <c r="AE15" s="168"/>
      <c r="AF15" s="168"/>
      <c r="AG15" s="168"/>
      <c r="AH15" s="168">
        <v>0.75670000000000004</v>
      </c>
      <c r="AI15" s="70" t="s">
        <v>154</v>
      </c>
      <c r="AJ15" s="270" t="s">
        <v>92</v>
      </c>
      <c r="AK15" s="168"/>
      <c r="AL15" s="173" t="s">
        <v>220</v>
      </c>
    </row>
    <row r="16" spans="1:39" ht="147.75" hidden="1" customHeight="1" x14ac:dyDescent="0.25">
      <c r="A16" s="196" t="s">
        <v>110</v>
      </c>
      <c r="B16" s="46" t="s">
        <v>101</v>
      </c>
      <c r="C16" s="59" t="s">
        <v>123</v>
      </c>
      <c r="D16" s="46" t="s">
        <v>211</v>
      </c>
      <c r="E16" s="3" t="s">
        <v>13</v>
      </c>
      <c r="F16" s="46" t="s">
        <v>185</v>
      </c>
      <c r="G16" s="46" t="s">
        <v>177</v>
      </c>
      <c r="H16" s="46" t="s">
        <v>184</v>
      </c>
      <c r="I16" s="59" t="s">
        <v>186</v>
      </c>
      <c r="J16" s="184">
        <v>0.71130000000000004</v>
      </c>
      <c r="K16" s="201">
        <v>0.60740000000000005</v>
      </c>
      <c r="L16" s="210">
        <v>0.70697331363973004</v>
      </c>
      <c r="M16" s="32">
        <v>0.73770000000000002</v>
      </c>
      <c r="N16" s="123">
        <f t="shared" si="5"/>
        <v>1.0434623001568177</v>
      </c>
      <c r="O16" s="221">
        <v>0.70499999999999996</v>
      </c>
      <c r="P16" s="48">
        <v>0.70499999999999996</v>
      </c>
      <c r="Q16" s="32">
        <v>0.75439999999999996</v>
      </c>
      <c r="R16" s="32">
        <v>0.75439999999999996</v>
      </c>
      <c r="S16" s="30">
        <f t="shared" si="3"/>
        <v>1.0700709219858155</v>
      </c>
      <c r="T16" s="123">
        <f>+R16/$P16</f>
        <v>1.0700709219858155</v>
      </c>
      <c r="U16" s="210">
        <v>0.70930000000000004</v>
      </c>
      <c r="V16" s="34">
        <v>0.70930000000000004</v>
      </c>
      <c r="W16" s="325">
        <v>0.75449999999999995</v>
      </c>
      <c r="X16" s="60">
        <v>0.75449999999999995</v>
      </c>
      <c r="Y16" s="30">
        <f t="shared" si="1"/>
        <v>1.0637247990977019</v>
      </c>
      <c r="Z16" s="30">
        <f t="shared" si="6"/>
        <v>1.0637247990977019</v>
      </c>
      <c r="AA16" s="123" t="s">
        <v>146</v>
      </c>
      <c r="AB16" s="252">
        <v>0.71130000000000004</v>
      </c>
      <c r="AC16" s="33">
        <f t="shared" si="4"/>
        <v>0.71130000000000004</v>
      </c>
      <c r="AD16" s="168"/>
      <c r="AE16" s="168"/>
      <c r="AF16" s="168"/>
      <c r="AG16" s="168"/>
      <c r="AH16" s="168">
        <v>0.71130000000000004</v>
      </c>
      <c r="AI16" s="70" t="s">
        <v>154</v>
      </c>
      <c r="AJ16" s="270" t="s">
        <v>92</v>
      </c>
      <c r="AK16" s="168"/>
      <c r="AL16" s="173" t="s">
        <v>221</v>
      </c>
    </row>
    <row r="17" spans="1:38" ht="150" hidden="1" x14ac:dyDescent="0.25">
      <c r="A17" s="196" t="s">
        <v>110</v>
      </c>
      <c r="B17" s="46" t="s">
        <v>101</v>
      </c>
      <c r="C17" s="59" t="s">
        <v>123</v>
      </c>
      <c r="D17" s="46" t="s">
        <v>211</v>
      </c>
      <c r="E17" s="3" t="s">
        <v>14</v>
      </c>
      <c r="F17" s="46" t="s">
        <v>175</v>
      </c>
      <c r="G17" s="46" t="s">
        <v>177</v>
      </c>
      <c r="H17" s="46" t="s">
        <v>184</v>
      </c>
      <c r="I17" s="59" t="s">
        <v>193</v>
      </c>
      <c r="J17" s="190">
        <v>113658</v>
      </c>
      <c r="K17" s="200">
        <v>109658</v>
      </c>
      <c r="L17" s="211">
        <v>110658</v>
      </c>
      <c r="M17" s="19">
        <v>102105</v>
      </c>
      <c r="N17" s="123">
        <f t="shared" si="5"/>
        <v>0.92270780241826167</v>
      </c>
      <c r="O17" s="222">
        <v>111658</v>
      </c>
      <c r="P17" s="144">
        <v>111658</v>
      </c>
      <c r="Q17" s="19">
        <f>+R17-M17</f>
        <v>5332</v>
      </c>
      <c r="R17" s="19">
        <v>107437</v>
      </c>
      <c r="S17" s="30">
        <f t="shared" si="3"/>
        <v>4.7752959931218544E-2</v>
      </c>
      <c r="T17" s="123">
        <f t="shared" si="2"/>
        <v>0.96219706604094646</v>
      </c>
      <c r="U17" s="236">
        <v>112658</v>
      </c>
      <c r="V17" s="36">
        <v>112658</v>
      </c>
      <c r="W17" s="66">
        <v>112959</v>
      </c>
      <c r="X17" s="66">
        <v>112959</v>
      </c>
      <c r="Y17" s="30">
        <f t="shared" si="1"/>
        <v>1.0026718031564559</v>
      </c>
      <c r="Z17" s="30">
        <f t="shared" si="6"/>
        <v>1.0026718031564559</v>
      </c>
      <c r="AA17" s="123" t="s">
        <v>146</v>
      </c>
      <c r="AB17" s="257">
        <v>113658</v>
      </c>
      <c r="AC17" s="35">
        <f t="shared" si="4"/>
        <v>113658</v>
      </c>
      <c r="AD17" s="165"/>
      <c r="AE17" s="165"/>
      <c r="AF17" s="165"/>
      <c r="AG17" s="165"/>
      <c r="AH17" s="165">
        <f>+AC17-X17</f>
        <v>699</v>
      </c>
      <c r="AI17" s="70" t="s">
        <v>154</v>
      </c>
      <c r="AJ17" s="270" t="s">
        <v>92</v>
      </c>
      <c r="AK17" s="165"/>
      <c r="AL17" s="173" t="s">
        <v>222</v>
      </c>
    </row>
    <row r="18" spans="1:38" ht="150" hidden="1" x14ac:dyDescent="0.25">
      <c r="A18" s="196" t="s">
        <v>110</v>
      </c>
      <c r="B18" s="46" t="s">
        <v>101</v>
      </c>
      <c r="C18" s="59" t="s">
        <v>123</v>
      </c>
      <c r="D18" s="46" t="s">
        <v>211</v>
      </c>
      <c r="E18" s="3" t="s">
        <v>15</v>
      </c>
      <c r="F18" s="46" t="s">
        <v>175</v>
      </c>
      <c r="G18" s="46" t="s">
        <v>177</v>
      </c>
      <c r="H18" s="46" t="s">
        <v>184</v>
      </c>
      <c r="I18" s="59" t="s">
        <v>194</v>
      </c>
      <c r="J18" s="29">
        <v>311</v>
      </c>
      <c r="K18" s="200">
        <v>251</v>
      </c>
      <c r="L18" s="49">
        <v>275</v>
      </c>
      <c r="M18" s="18">
        <v>247</v>
      </c>
      <c r="N18" s="123">
        <f t="shared" si="5"/>
        <v>0.89818181818181819</v>
      </c>
      <c r="O18" s="161">
        <v>275</v>
      </c>
      <c r="P18" s="232">
        <v>275</v>
      </c>
      <c r="Q18" s="19">
        <f>+R18-M18</f>
        <v>3</v>
      </c>
      <c r="R18" s="18">
        <v>250</v>
      </c>
      <c r="S18" s="30">
        <f t="shared" si="3"/>
        <v>1.090909090909091E-2</v>
      </c>
      <c r="T18" s="123">
        <f t="shared" si="2"/>
        <v>0.90909090909090906</v>
      </c>
      <c r="U18" s="56">
        <v>299</v>
      </c>
      <c r="V18" s="36">
        <v>299</v>
      </c>
      <c r="W18" s="54">
        <v>242</v>
      </c>
      <c r="X18" s="66">
        <v>242</v>
      </c>
      <c r="Y18" s="30">
        <f t="shared" si="1"/>
        <v>0.80936454849498329</v>
      </c>
      <c r="Z18" s="30">
        <f t="shared" si="6"/>
        <v>0.80936454849498329</v>
      </c>
      <c r="AA18" s="123" t="s">
        <v>146</v>
      </c>
      <c r="AB18" s="255">
        <v>311</v>
      </c>
      <c r="AC18" s="35">
        <f t="shared" si="4"/>
        <v>311</v>
      </c>
      <c r="AD18" s="165"/>
      <c r="AE18" s="165"/>
      <c r="AF18" s="165"/>
      <c r="AG18" s="165"/>
      <c r="AH18" s="165">
        <f>+AC18-X18</f>
        <v>69</v>
      </c>
      <c r="AI18" s="70" t="s">
        <v>154</v>
      </c>
      <c r="AJ18" s="270" t="s">
        <v>92</v>
      </c>
      <c r="AK18" s="165"/>
      <c r="AL18" s="68"/>
    </row>
    <row r="19" spans="1:38" ht="150" hidden="1" x14ac:dyDescent="0.25">
      <c r="A19" s="196" t="s">
        <v>110</v>
      </c>
      <c r="B19" s="46" t="s">
        <v>101</v>
      </c>
      <c r="C19" s="59" t="s">
        <v>123</v>
      </c>
      <c r="D19" s="46" t="s">
        <v>211</v>
      </c>
      <c r="E19" s="3" t="s">
        <v>16</v>
      </c>
      <c r="F19" s="46" t="s">
        <v>185</v>
      </c>
      <c r="G19" s="46" t="s">
        <v>177</v>
      </c>
      <c r="H19" s="46" t="s">
        <v>190</v>
      </c>
      <c r="I19" s="59" t="s">
        <v>186</v>
      </c>
      <c r="J19" s="186">
        <v>0.78320000000000001</v>
      </c>
      <c r="K19" s="201">
        <v>0.73309999999999997</v>
      </c>
      <c r="L19" s="47">
        <v>0.75700000000000001</v>
      </c>
      <c r="M19" s="32">
        <v>0.73450000000000004</v>
      </c>
      <c r="N19" s="123">
        <f>+M19/L19</f>
        <v>0.97027741083223251</v>
      </c>
      <c r="O19" s="158">
        <v>0.75719999999999998</v>
      </c>
      <c r="P19" s="48">
        <v>0.75719999999999998</v>
      </c>
      <c r="Q19" s="32">
        <v>0.73399999999999999</v>
      </c>
      <c r="R19" s="32">
        <v>0.73399999999999999</v>
      </c>
      <c r="S19" s="30">
        <f t="shared" si="3"/>
        <v>0.96936080295826732</v>
      </c>
      <c r="T19" s="123">
        <f>+R19/$P19</f>
        <v>0.96936080295826732</v>
      </c>
      <c r="U19" s="51">
        <v>0.7681</v>
      </c>
      <c r="V19" s="34">
        <v>0.7681</v>
      </c>
      <c r="W19" s="325">
        <v>0.73160000000000003</v>
      </c>
      <c r="X19" s="60">
        <v>0.73160000000000003</v>
      </c>
      <c r="Y19" s="30">
        <f t="shared" si="1"/>
        <v>0.95248014581434715</v>
      </c>
      <c r="Z19" s="30">
        <f t="shared" si="6"/>
        <v>0.95248014581434715</v>
      </c>
      <c r="AA19" s="123" t="s">
        <v>146</v>
      </c>
      <c r="AB19" s="252">
        <v>0.78320000000000001</v>
      </c>
      <c r="AC19" s="33">
        <f t="shared" si="4"/>
        <v>0.78320000000000001</v>
      </c>
      <c r="AD19" s="168"/>
      <c r="AE19" s="168"/>
      <c r="AF19" s="168"/>
      <c r="AG19" s="168"/>
      <c r="AH19" s="168">
        <v>0.78320000000000001</v>
      </c>
      <c r="AI19" s="70" t="s">
        <v>154</v>
      </c>
      <c r="AJ19" s="270" t="s">
        <v>92</v>
      </c>
      <c r="AK19" s="168"/>
      <c r="AL19" s="173" t="s">
        <v>223</v>
      </c>
    </row>
    <row r="20" spans="1:38" ht="195" hidden="1" x14ac:dyDescent="0.25">
      <c r="A20" s="196" t="s">
        <v>110</v>
      </c>
      <c r="B20" s="46" t="s">
        <v>101</v>
      </c>
      <c r="C20" s="59" t="s">
        <v>123</v>
      </c>
      <c r="D20" s="46" t="s">
        <v>211</v>
      </c>
      <c r="E20" s="3" t="s">
        <v>17</v>
      </c>
      <c r="F20" s="46" t="s">
        <v>175</v>
      </c>
      <c r="G20" s="46" t="s">
        <v>177</v>
      </c>
      <c r="H20" s="46" t="s">
        <v>184</v>
      </c>
      <c r="I20" s="59" t="s">
        <v>193</v>
      </c>
      <c r="J20" s="29">
        <v>366740</v>
      </c>
      <c r="K20" s="202">
        <v>362740</v>
      </c>
      <c r="L20" s="49">
        <v>363740</v>
      </c>
      <c r="M20" s="19">
        <v>336068</v>
      </c>
      <c r="N20" s="123">
        <f t="shared" si="5"/>
        <v>0.92392368175070105</v>
      </c>
      <c r="O20" s="161">
        <v>364740</v>
      </c>
      <c r="P20" s="144">
        <v>364740</v>
      </c>
      <c r="Q20" s="19">
        <f>+R20-M20</f>
        <v>-413</v>
      </c>
      <c r="R20" s="19">
        <v>335655</v>
      </c>
      <c r="S20" s="30">
        <f t="shared" si="3"/>
        <v>-1.1323134287437627E-3</v>
      </c>
      <c r="T20" s="123">
        <f t="shared" si="2"/>
        <v>0.92025826616219775</v>
      </c>
      <c r="U20" s="56">
        <v>365740</v>
      </c>
      <c r="V20" s="36">
        <v>365740</v>
      </c>
      <c r="W20" s="66">
        <v>327111</v>
      </c>
      <c r="X20" s="66">
        <v>327111</v>
      </c>
      <c r="Y20" s="30">
        <f t="shared" si="1"/>
        <v>0.89438125444304695</v>
      </c>
      <c r="Z20" s="30">
        <f t="shared" si="6"/>
        <v>0.89438125444304695</v>
      </c>
      <c r="AA20" s="123" t="s">
        <v>146</v>
      </c>
      <c r="AB20" s="255">
        <v>366740</v>
      </c>
      <c r="AC20" s="35">
        <f t="shared" si="4"/>
        <v>366740</v>
      </c>
      <c r="AD20" s="165"/>
      <c r="AE20" s="165"/>
      <c r="AF20" s="165"/>
      <c r="AG20" s="165"/>
      <c r="AH20" s="165">
        <f>+AC20-X20</f>
        <v>39629</v>
      </c>
      <c r="AI20" s="70" t="s">
        <v>154</v>
      </c>
      <c r="AJ20" s="270" t="s">
        <v>92</v>
      </c>
      <c r="AK20" s="165"/>
      <c r="AL20" s="173" t="s">
        <v>224</v>
      </c>
    </row>
    <row r="21" spans="1:38" ht="150" hidden="1" x14ac:dyDescent="0.25">
      <c r="A21" s="196" t="s">
        <v>110</v>
      </c>
      <c r="B21" s="46" t="s">
        <v>101</v>
      </c>
      <c r="C21" s="59" t="s">
        <v>123</v>
      </c>
      <c r="D21" s="46" t="s">
        <v>211</v>
      </c>
      <c r="E21" s="3" t="s">
        <v>18</v>
      </c>
      <c r="F21" s="46" t="s">
        <v>175</v>
      </c>
      <c r="G21" s="46" t="s">
        <v>177</v>
      </c>
      <c r="H21" s="46" t="s">
        <v>184</v>
      </c>
      <c r="I21" s="59" t="s">
        <v>194</v>
      </c>
      <c r="J21" s="29">
        <v>5915</v>
      </c>
      <c r="K21" s="200">
        <v>5515</v>
      </c>
      <c r="L21" s="49">
        <v>5615</v>
      </c>
      <c r="M21" s="16">
        <v>5661</v>
      </c>
      <c r="N21" s="123">
        <f t="shared" si="5"/>
        <v>1.0081923419412289</v>
      </c>
      <c r="O21" s="161">
        <v>5715</v>
      </c>
      <c r="P21" s="144">
        <v>5715</v>
      </c>
      <c r="Q21" s="19">
        <f>+R21-M21</f>
        <v>41</v>
      </c>
      <c r="R21" s="19">
        <v>5702</v>
      </c>
      <c r="S21" s="30">
        <f t="shared" si="3"/>
        <v>7.1741032370953627E-3</v>
      </c>
      <c r="T21" s="123">
        <f t="shared" si="2"/>
        <v>0.99772528433945762</v>
      </c>
      <c r="U21" s="56">
        <v>5815</v>
      </c>
      <c r="V21" s="36">
        <v>5815</v>
      </c>
      <c r="W21" s="66">
        <v>5654</v>
      </c>
      <c r="X21" s="66">
        <v>5654</v>
      </c>
      <c r="Y21" s="30">
        <f t="shared" si="1"/>
        <v>0.97231298366294072</v>
      </c>
      <c r="Z21" s="30">
        <f t="shared" si="6"/>
        <v>0.97231298366294072</v>
      </c>
      <c r="AA21" s="123" t="s">
        <v>146</v>
      </c>
      <c r="AB21" s="255">
        <v>5915</v>
      </c>
      <c r="AC21" s="35">
        <f t="shared" si="4"/>
        <v>5915</v>
      </c>
      <c r="AD21" s="165"/>
      <c r="AE21" s="165"/>
      <c r="AF21" s="165"/>
      <c r="AG21" s="165"/>
      <c r="AH21" s="165">
        <f>+AC21-X21</f>
        <v>261</v>
      </c>
      <c r="AI21" s="70" t="s">
        <v>154</v>
      </c>
      <c r="AJ21" s="270" t="s">
        <v>92</v>
      </c>
      <c r="AK21" s="165"/>
      <c r="AL21" s="68"/>
    </row>
    <row r="22" spans="1:38" ht="150" hidden="1" x14ac:dyDescent="0.25">
      <c r="A22" s="196" t="s">
        <v>110</v>
      </c>
      <c r="B22" s="46" t="s">
        <v>101</v>
      </c>
      <c r="C22" s="59" t="s">
        <v>123</v>
      </c>
      <c r="D22" s="46" t="s">
        <v>211</v>
      </c>
      <c r="E22" s="3" t="s">
        <v>19</v>
      </c>
      <c r="F22" s="46" t="s">
        <v>185</v>
      </c>
      <c r="G22" s="46" t="s">
        <v>177</v>
      </c>
      <c r="H22" s="46" t="s">
        <v>184</v>
      </c>
      <c r="I22" s="59" t="s">
        <v>186</v>
      </c>
      <c r="J22" s="13">
        <v>0.91039999999999999</v>
      </c>
      <c r="K22" s="168">
        <v>0.83819999999999995</v>
      </c>
      <c r="L22" s="47">
        <v>0.86709999999999998</v>
      </c>
      <c r="M22" s="13">
        <v>0.83379999999999999</v>
      </c>
      <c r="N22" s="123">
        <f t="shared" si="5"/>
        <v>0.96159612501441583</v>
      </c>
      <c r="O22" s="158">
        <v>0.88149999999999995</v>
      </c>
      <c r="P22" s="48">
        <v>0.88149999999999995</v>
      </c>
      <c r="Q22" s="32">
        <v>0.84209999999999996</v>
      </c>
      <c r="R22" s="13">
        <v>0.84209999999999996</v>
      </c>
      <c r="S22" s="30">
        <f t="shared" si="3"/>
        <v>0.95530346001134436</v>
      </c>
      <c r="T22" s="123">
        <f>+R22/$P22</f>
        <v>0.95530346001134436</v>
      </c>
      <c r="U22" s="51">
        <v>0.86599999999999999</v>
      </c>
      <c r="V22" s="34">
        <v>0.86599999999999999</v>
      </c>
      <c r="W22" s="325">
        <v>0.82850000000000001</v>
      </c>
      <c r="X22" s="60">
        <v>0.82850000000000001</v>
      </c>
      <c r="Y22" s="30">
        <f t="shared" si="1"/>
        <v>0.95669745958429564</v>
      </c>
      <c r="Z22" s="30">
        <f t="shared" si="6"/>
        <v>0.95669745958429564</v>
      </c>
      <c r="AA22" s="123" t="s">
        <v>146</v>
      </c>
      <c r="AB22" s="252">
        <v>0.91039999999999999</v>
      </c>
      <c r="AC22" s="26">
        <f t="shared" si="4"/>
        <v>0.91039999999999999</v>
      </c>
      <c r="AD22" s="167"/>
      <c r="AE22" s="167"/>
      <c r="AF22" s="167"/>
      <c r="AG22" s="167"/>
      <c r="AH22" s="167">
        <v>0.91039999999999999</v>
      </c>
      <c r="AI22" s="70" t="s">
        <v>154</v>
      </c>
      <c r="AJ22" s="270" t="s">
        <v>92</v>
      </c>
      <c r="AK22" s="167"/>
      <c r="AL22" s="173" t="s">
        <v>225</v>
      </c>
    </row>
    <row r="23" spans="1:38" ht="97.5" hidden="1" customHeight="1" x14ac:dyDescent="0.25">
      <c r="A23" s="196" t="s">
        <v>110</v>
      </c>
      <c r="B23" s="46" t="s">
        <v>101</v>
      </c>
      <c r="C23" s="59" t="s">
        <v>124</v>
      </c>
      <c r="D23" s="46" t="s">
        <v>211</v>
      </c>
      <c r="E23" s="3" t="s">
        <v>20</v>
      </c>
      <c r="F23" s="46" t="s">
        <v>175</v>
      </c>
      <c r="G23" s="46" t="s">
        <v>177</v>
      </c>
      <c r="H23" s="46" t="s">
        <v>184</v>
      </c>
      <c r="I23" s="59" t="s">
        <v>194</v>
      </c>
      <c r="J23" s="29">
        <v>100</v>
      </c>
      <c r="K23" s="200">
        <v>0</v>
      </c>
      <c r="L23" s="49">
        <v>40</v>
      </c>
      <c r="M23" s="17">
        <v>97</v>
      </c>
      <c r="N23" s="123">
        <f t="shared" si="5"/>
        <v>2.4249999999999998</v>
      </c>
      <c r="O23" s="161">
        <v>60</v>
      </c>
      <c r="P23" s="232">
        <v>60</v>
      </c>
      <c r="Q23" s="19">
        <f>+R23-M23</f>
        <v>26</v>
      </c>
      <c r="R23" s="18">
        <v>123</v>
      </c>
      <c r="S23" s="30">
        <f t="shared" si="3"/>
        <v>0.43333333333333335</v>
      </c>
      <c r="T23" s="123">
        <f t="shared" si="2"/>
        <v>2.0499999999999998</v>
      </c>
      <c r="U23" s="56">
        <v>80</v>
      </c>
      <c r="V23" s="36">
        <v>80</v>
      </c>
      <c r="W23" s="310" t="s">
        <v>278</v>
      </c>
      <c r="X23" s="312" t="s">
        <v>278</v>
      </c>
      <c r="Y23" s="30" t="e">
        <f t="shared" si="1"/>
        <v>#VALUE!</v>
      </c>
      <c r="Z23" s="30" t="e">
        <f t="shared" si="6"/>
        <v>#VALUE!</v>
      </c>
      <c r="AA23" s="123" t="s">
        <v>115</v>
      </c>
      <c r="AB23" s="258">
        <v>100</v>
      </c>
      <c r="AC23" s="35">
        <f t="shared" si="4"/>
        <v>100</v>
      </c>
      <c r="AD23" s="165"/>
      <c r="AE23" s="165"/>
      <c r="AF23" s="165"/>
      <c r="AG23" s="165"/>
      <c r="AH23" s="165" t="e">
        <f>+AC23-X23</f>
        <v>#VALUE!</v>
      </c>
      <c r="AI23" s="70"/>
      <c r="AJ23" s="270"/>
      <c r="AK23" s="165"/>
      <c r="AL23" s="68"/>
    </row>
    <row r="24" spans="1:38" ht="285" hidden="1" x14ac:dyDescent="0.25">
      <c r="A24" s="196" t="s">
        <v>110</v>
      </c>
      <c r="B24" s="46" t="s">
        <v>101</v>
      </c>
      <c r="C24" s="59" t="s">
        <v>123</v>
      </c>
      <c r="D24" s="46" t="s">
        <v>211</v>
      </c>
      <c r="E24" s="3" t="s">
        <v>21</v>
      </c>
      <c r="F24" s="46" t="s">
        <v>185</v>
      </c>
      <c r="G24" s="46" t="s">
        <v>177</v>
      </c>
      <c r="H24" s="46" t="s">
        <v>184</v>
      </c>
      <c r="I24" s="59" t="s">
        <v>186</v>
      </c>
      <c r="J24" s="13">
        <v>0.189</v>
      </c>
      <c r="K24" s="168">
        <v>0.16930000000000001</v>
      </c>
      <c r="L24" s="47">
        <v>0.17399999999999999</v>
      </c>
      <c r="M24" s="13">
        <v>0.1981</v>
      </c>
      <c r="N24" s="123">
        <f t="shared" si="5"/>
        <v>1.1385057471264368</v>
      </c>
      <c r="O24" s="158">
        <v>0.17899999999999999</v>
      </c>
      <c r="P24" s="48">
        <v>0.17899999999999999</v>
      </c>
      <c r="Q24" s="32">
        <v>0</v>
      </c>
      <c r="R24" s="106">
        <v>0</v>
      </c>
      <c r="S24" s="30">
        <f t="shared" si="3"/>
        <v>0</v>
      </c>
      <c r="T24" s="123">
        <f>+R24/$P24</f>
        <v>0</v>
      </c>
      <c r="U24" s="51">
        <v>0.184</v>
      </c>
      <c r="V24" s="34">
        <v>0.184</v>
      </c>
      <c r="W24" s="90" t="s">
        <v>278</v>
      </c>
      <c r="X24" s="89" t="s">
        <v>278</v>
      </c>
      <c r="Y24" s="30" t="e">
        <f t="shared" si="1"/>
        <v>#VALUE!</v>
      </c>
      <c r="Z24" s="30" t="e">
        <f t="shared" si="6"/>
        <v>#VALUE!</v>
      </c>
      <c r="AA24" s="123" t="s">
        <v>147</v>
      </c>
      <c r="AB24" s="252">
        <v>0.189</v>
      </c>
      <c r="AC24" s="26">
        <f t="shared" si="4"/>
        <v>0.189</v>
      </c>
      <c r="AD24" s="167"/>
      <c r="AE24" s="167"/>
      <c r="AF24" s="167"/>
      <c r="AG24" s="167"/>
      <c r="AH24" s="167" t="e">
        <f>+AC24-X24</f>
        <v>#VALUE!</v>
      </c>
      <c r="AI24" s="70" t="s">
        <v>154</v>
      </c>
      <c r="AJ24" s="270" t="s">
        <v>94</v>
      </c>
      <c r="AK24" s="167"/>
      <c r="AL24" s="68"/>
    </row>
    <row r="25" spans="1:38" ht="150" hidden="1" x14ac:dyDescent="0.25">
      <c r="A25" s="196" t="s">
        <v>110</v>
      </c>
      <c r="B25" s="46" t="s">
        <v>101</v>
      </c>
      <c r="C25" s="59" t="s">
        <v>123</v>
      </c>
      <c r="D25" s="46" t="s">
        <v>211</v>
      </c>
      <c r="E25" s="3" t="s">
        <v>22</v>
      </c>
      <c r="F25" s="46" t="s">
        <v>175</v>
      </c>
      <c r="G25" s="46" t="s">
        <v>177</v>
      </c>
      <c r="H25" s="46" t="s">
        <v>184</v>
      </c>
      <c r="I25" s="59" t="s">
        <v>194</v>
      </c>
      <c r="J25" s="29">
        <v>812</v>
      </c>
      <c r="K25" s="200">
        <v>784</v>
      </c>
      <c r="L25" s="49">
        <v>796</v>
      </c>
      <c r="M25" s="11">
        <v>782</v>
      </c>
      <c r="N25" s="123">
        <f t="shared" si="5"/>
        <v>0.98241206030150752</v>
      </c>
      <c r="O25" s="161">
        <v>801</v>
      </c>
      <c r="P25" s="232">
        <v>801</v>
      </c>
      <c r="Q25" s="19">
        <f>+R25-M25</f>
        <v>19</v>
      </c>
      <c r="R25" s="11">
        <v>801</v>
      </c>
      <c r="S25" s="30">
        <f t="shared" si="3"/>
        <v>2.3720349563046191E-2</v>
      </c>
      <c r="T25" s="123">
        <f t="shared" si="2"/>
        <v>1</v>
      </c>
      <c r="U25" s="56">
        <v>807</v>
      </c>
      <c r="V25" s="36">
        <v>807</v>
      </c>
      <c r="W25" s="54">
        <v>800</v>
      </c>
      <c r="X25" s="66">
        <v>800</v>
      </c>
      <c r="Y25" s="30">
        <f t="shared" si="1"/>
        <v>0.99132589838909546</v>
      </c>
      <c r="Z25" s="30">
        <f t="shared" si="6"/>
        <v>0.99132589838909546</v>
      </c>
      <c r="AA25" s="123" t="s">
        <v>146</v>
      </c>
      <c r="AB25" s="255">
        <v>812</v>
      </c>
      <c r="AC25" s="35">
        <f t="shared" si="4"/>
        <v>812</v>
      </c>
      <c r="AD25" s="165"/>
      <c r="AE25" s="165"/>
      <c r="AF25" s="165"/>
      <c r="AG25" s="165"/>
      <c r="AH25" s="165">
        <f>+AC25-X25</f>
        <v>12</v>
      </c>
      <c r="AI25" s="70" t="s">
        <v>154</v>
      </c>
      <c r="AJ25" s="270" t="s">
        <v>92</v>
      </c>
      <c r="AK25" s="165"/>
      <c r="AL25" s="68"/>
    </row>
    <row r="26" spans="1:38" ht="150" hidden="1" x14ac:dyDescent="0.25">
      <c r="A26" s="196" t="s">
        <v>110</v>
      </c>
      <c r="B26" s="46" t="s">
        <v>101</v>
      </c>
      <c r="C26" s="59" t="s">
        <v>123</v>
      </c>
      <c r="D26" s="46" t="s">
        <v>211</v>
      </c>
      <c r="E26" s="3" t="s">
        <v>23</v>
      </c>
      <c r="F26" s="46" t="s">
        <v>185</v>
      </c>
      <c r="G26" s="46" t="s">
        <v>177</v>
      </c>
      <c r="H26" s="46" t="s">
        <v>184</v>
      </c>
      <c r="I26" s="59" t="s">
        <v>186</v>
      </c>
      <c r="J26" s="187">
        <v>0.77090000000000003</v>
      </c>
      <c r="K26" s="201">
        <v>0.72860000000000003</v>
      </c>
      <c r="L26" s="47">
        <v>0.74319999999999997</v>
      </c>
      <c r="M26" s="13">
        <v>0.73050000000000004</v>
      </c>
      <c r="N26" s="123">
        <f t="shared" si="5"/>
        <v>0.98291173304628643</v>
      </c>
      <c r="O26" s="158">
        <v>0.74990000000000001</v>
      </c>
      <c r="P26" s="48">
        <v>0.74990000000000001</v>
      </c>
      <c r="Q26" s="32">
        <v>0.76849999999999996</v>
      </c>
      <c r="R26" s="13">
        <v>0.76849999999999996</v>
      </c>
      <c r="S26" s="30">
        <f t="shared" si="3"/>
        <v>1.0248033071076144</v>
      </c>
      <c r="T26" s="123">
        <f>+R26/$P26</f>
        <v>1.0248033071076144</v>
      </c>
      <c r="U26" s="51">
        <v>0.76139999999999997</v>
      </c>
      <c r="V26" s="34">
        <v>0.76139999999999997</v>
      </c>
      <c r="W26" s="325">
        <v>0.7772</v>
      </c>
      <c r="X26" s="60">
        <v>0.7772</v>
      </c>
      <c r="Y26" s="30">
        <f t="shared" si="1"/>
        <v>1.0207512477016023</v>
      </c>
      <c r="Z26" s="30">
        <f t="shared" si="6"/>
        <v>1.0207512477016023</v>
      </c>
      <c r="AA26" s="123" t="s">
        <v>146</v>
      </c>
      <c r="AB26" s="252">
        <v>0.77090000000000003</v>
      </c>
      <c r="AC26" s="26">
        <f t="shared" si="4"/>
        <v>0.77090000000000003</v>
      </c>
      <c r="AD26" s="167"/>
      <c r="AE26" s="167"/>
      <c r="AF26" s="167"/>
      <c r="AG26" s="167"/>
      <c r="AH26" s="167">
        <v>0.77090000000000003</v>
      </c>
      <c r="AI26" s="70" t="s">
        <v>154</v>
      </c>
      <c r="AJ26" s="270" t="s">
        <v>92</v>
      </c>
      <c r="AK26" s="167"/>
      <c r="AL26" s="173" t="s">
        <v>226</v>
      </c>
    </row>
    <row r="27" spans="1:38" ht="360" hidden="1" x14ac:dyDescent="0.25">
      <c r="A27" s="196" t="s">
        <v>110</v>
      </c>
      <c r="B27" s="46" t="s">
        <v>101</v>
      </c>
      <c r="C27" s="59" t="s">
        <v>123</v>
      </c>
      <c r="D27" s="46" t="s">
        <v>211</v>
      </c>
      <c r="E27" s="3" t="s">
        <v>24</v>
      </c>
      <c r="F27" s="46" t="s">
        <v>175</v>
      </c>
      <c r="G27" s="46" t="s">
        <v>177</v>
      </c>
      <c r="H27" s="46" t="s">
        <v>184</v>
      </c>
      <c r="I27" s="59" t="s">
        <v>193</v>
      </c>
      <c r="J27" s="29">
        <v>582001</v>
      </c>
      <c r="K27" s="202">
        <v>432372</v>
      </c>
      <c r="L27" s="49">
        <v>494798</v>
      </c>
      <c r="M27" s="19">
        <v>397378</v>
      </c>
      <c r="N27" s="123">
        <f t="shared" si="5"/>
        <v>0.80311157280344703</v>
      </c>
      <c r="O27" s="161">
        <v>496798</v>
      </c>
      <c r="P27" s="144">
        <v>496798</v>
      </c>
      <c r="Q27" s="19">
        <f>+R27-M27</f>
        <v>22480</v>
      </c>
      <c r="R27" s="19">
        <v>419858</v>
      </c>
      <c r="S27" s="30">
        <f t="shared" si="3"/>
        <v>4.5249779588484654E-2</v>
      </c>
      <c r="T27" s="123">
        <f t="shared" si="2"/>
        <v>0.84512820099919883</v>
      </c>
      <c r="U27" s="56">
        <v>498798</v>
      </c>
      <c r="V27" s="36">
        <v>498798</v>
      </c>
      <c r="W27" s="66">
        <v>404271</v>
      </c>
      <c r="X27" s="66">
        <v>404271</v>
      </c>
      <c r="Y27" s="30">
        <f t="shared" si="1"/>
        <v>0.81049041896719709</v>
      </c>
      <c r="Z27" s="30">
        <f t="shared" si="6"/>
        <v>0.81049041896719709</v>
      </c>
      <c r="AA27" s="123" t="s">
        <v>146</v>
      </c>
      <c r="AB27" s="255">
        <v>582001</v>
      </c>
      <c r="AC27" s="35">
        <f t="shared" si="4"/>
        <v>582001</v>
      </c>
      <c r="AD27" s="165"/>
      <c r="AE27" s="165"/>
      <c r="AF27" s="165"/>
      <c r="AG27" s="165"/>
      <c r="AH27" s="165">
        <f>+AC27-X27</f>
        <v>177730</v>
      </c>
      <c r="AI27" s="70" t="s">
        <v>154</v>
      </c>
      <c r="AJ27" s="270" t="s">
        <v>92</v>
      </c>
      <c r="AK27" s="165"/>
      <c r="AL27" s="173" t="s">
        <v>227</v>
      </c>
    </row>
    <row r="28" spans="1:38" ht="150" hidden="1" x14ac:dyDescent="0.25">
      <c r="A28" s="248" t="s">
        <v>110</v>
      </c>
      <c r="B28" s="46" t="s">
        <v>101</v>
      </c>
      <c r="C28" s="59" t="s">
        <v>123</v>
      </c>
      <c r="D28" s="46" t="s">
        <v>211</v>
      </c>
      <c r="E28" s="3" t="s">
        <v>25</v>
      </c>
      <c r="F28" s="46" t="s">
        <v>191</v>
      </c>
      <c r="G28" s="46" t="s">
        <v>177</v>
      </c>
      <c r="H28" s="46" t="s">
        <v>190</v>
      </c>
      <c r="I28" s="59" t="s">
        <v>194</v>
      </c>
      <c r="J28" s="29">
        <v>3869</v>
      </c>
      <c r="K28" s="200">
        <v>5258</v>
      </c>
      <c r="L28" s="49">
        <v>3794</v>
      </c>
      <c r="M28" s="16">
        <v>3832</v>
      </c>
      <c r="N28" s="249">
        <f>+M28/L28</f>
        <v>1.0100158144438587</v>
      </c>
      <c r="O28" s="161">
        <v>3819</v>
      </c>
      <c r="P28" s="144">
        <v>3819</v>
      </c>
      <c r="Q28" s="27">
        <v>4042</v>
      </c>
      <c r="R28" s="27">
        <v>4042</v>
      </c>
      <c r="S28" s="30">
        <f t="shared" si="3"/>
        <v>1.0583922492799163</v>
      </c>
      <c r="T28" s="123">
        <f t="shared" si="2"/>
        <v>1.0583922492799163</v>
      </c>
      <c r="U28" s="56">
        <v>3844</v>
      </c>
      <c r="V28" s="36">
        <v>3844</v>
      </c>
      <c r="W28" s="66">
        <v>4525</v>
      </c>
      <c r="X28" s="66">
        <v>4525</v>
      </c>
      <c r="Y28" s="30">
        <f t="shared" si="1"/>
        <v>1.1771592091571279</v>
      </c>
      <c r="Z28" s="30">
        <f t="shared" si="6"/>
        <v>1.1771592091571279</v>
      </c>
      <c r="AA28" s="123" t="s">
        <v>146</v>
      </c>
      <c r="AB28" s="258">
        <v>3869</v>
      </c>
      <c r="AC28" s="35">
        <f t="shared" si="4"/>
        <v>3869</v>
      </c>
      <c r="AD28" s="165"/>
      <c r="AE28" s="165"/>
      <c r="AF28" s="165"/>
      <c r="AG28" s="165"/>
      <c r="AH28" s="165">
        <v>0</v>
      </c>
      <c r="AI28" s="70" t="s">
        <v>154</v>
      </c>
      <c r="AJ28" s="270" t="s">
        <v>92</v>
      </c>
      <c r="AK28" s="165"/>
      <c r="AL28" s="68"/>
    </row>
    <row r="29" spans="1:38" ht="405" hidden="1" x14ac:dyDescent="0.25">
      <c r="A29" s="248" t="s">
        <v>110</v>
      </c>
      <c r="B29" s="46" t="s">
        <v>101</v>
      </c>
      <c r="C29" s="59" t="s">
        <v>123</v>
      </c>
      <c r="D29" s="46" t="s">
        <v>211</v>
      </c>
      <c r="E29" s="78" t="s">
        <v>26</v>
      </c>
      <c r="F29" s="46" t="s">
        <v>191</v>
      </c>
      <c r="G29" s="46" t="s">
        <v>177</v>
      </c>
      <c r="H29" s="46" t="s">
        <v>187</v>
      </c>
      <c r="I29" s="59" t="s">
        <v>195</v>
      </c>
      <c r="J29" s="239">
        <v>553408</v>
      </c>
      <c r="K29" s="202">
        <v>690512</v>
      </c>
      <c r="L29" s="211">
        <v>669101</v>
      </c>
      <c r="M29" s="19">
        <v>670974</v>
      </c>
      <c r="N29" s="123">
        <f>(K29-M29)/(K29-L29)</f>
        <v>0.91252160104619118</v>
      </c>
      <c r="O29" s="222">
        <v>639206</v>
      </c>
      <c r="P29" s="144">
        <v>639206</v>
      </c>
      <c r="Q29" s="27">
        <v>667431</v>
      </c>
      <c r="R29" s="19">
        <v>667431</v>
      </c>
      <c r="S29" s="30">
        <f>+(K29-Q29)/(K29-O29)</f>
        <v>0.44986941098507</v>
      </c>
      <c r="T29" s="123">
        <f>+(K29-R29)/(K29-J29)</f>
        <v>0.16834665655268993</v>
      </c>
      <c r="U29" s="236">
        <v>603443</v>
      </c>
      <c r="V29" s="36">
        <v>603443</v>
      </c>
      <c r="W29" s="81" t="s">
        <v>278</v>
      </c>
      <c r="X29" s="312" t="s">
        <v>278</v>
      </c>
      <c r="Y29" s="30" t="e">
        <f>+(K29-W29)/(K29-U29)</f>
        <v>#VALUE!</v>
      </c>
      <c r="Z29" s="30" t="e">
        <f>(K29-X29)/(K29-V29)</f>
        <v>#VALUE!</v>
      </c>
      <c r="AA29" s="123" t="s">
        <v>146</v>
      </c>
      <c r="AB29" s="257">
        <v>553408</v>
      </c>
      <c r="AC29" s="36">
        <f t="shared" si="4"/>
        <v>553408</v>
      </c>
      <c r="AD29" s="162"/>
      <c r="AE29" s="162"/>
      <c r="AF29" s="30">
        <f>(K29-AD29)/(K29-AB29)</f>
        <v>5.0364103162562728</v>
      </c>
      <c r="AG29" s="30">
        <f>+(K29-AE29)/(K29-AC29)</f>
        <v>5.0364103162562728</v>
      </c>
      <c r="AH29" s="162" t="e">
        <f>+AC29-X29</f>
        <v>#VALUE!</v>
      </c>
      <c r="AI29" s="70" t="s">
        <v>154</v>
      </c>
      <c r="AJ29" s="270" t="s">
        <v>92</v>
      </c>
      <c r="AK29" s="162"/>
      <c r="AL29" s="173" t="s">
        <v>228</v>
      </c>
    </row>
    <row r="30" spans="1:38" ht="213" hidden="1" customHeight="1" x14ac:dyDescent="0.25">
      <c r="A30" s="196" t="s">
        <v>110</v>
      </c>
      <c r="B30" s="46" t="s">
        <v>101</v>
      </c>
      <c r="C30" s="59" t="s">
        <v>124</v>
      </c>
      <c r="D30" s="46" t="s">
        <v>212</v>
      </c>
      <c r="E30" s="217" t="s">
        <v>27</v>
      </c>
      <c r="F30" s="46" t="s">
        <v>175</v>
      </c>
      <c r="G30" s="46" t="s">
        <v>178</v>
      </c>
      <c r="H30" s="46" t="s">
        <v>184</v>
      </c>
      <c r="I30" s="59" t="s">
        <v>196</v>
      </c>
      <c r="J30" s="29">
        <v>30693</v>
      </c>
      <c r="K30" s="200">
        <v>0</v>
      </c>
      <c r="L30" s="49">
        <v>1562</v>
      </c>
      <c r="M30" s="29">
        <v>1977</v>
      </c>
      <c r="N30" s="123">
        <f t="shared" si="5"/>
        <v>1.265685019206146</v>
      </c>
      <c r="O30" s="161">
        <v>2722</v>
      </c>
      <c r="P30" s="144">
        <f>+L30+O30</f>
        <v>4284</v>
      </c>
      <c r="Q30" s="27">
        <v>2234</v>
      </c>
      <c r="R30" s="303">
        <f>+Q30+M30</f>
        <v>4211</v>
      </c>
      <c r="S30" s="30">
        <f t="shared" ref="S30:S39" si="7">+Q30/O30</f>
        <v>0.82072005878030863</v>
      </c>
      <c r="T30" s="123">
        <f t="shared" si="2"/>
        <v>0.98295985060690938</v>
      </c>
      <c r="U30" s="56">
        <f>+V30-Q30</f>
        <v>8064</v>
      </c>
      <c r="V30" s="36">
        <v>10298</v>
      </c>
      <c r="W30" s="62">
        <v>2747</v>
      </c>
      <c r="X30" s="304">
        <f>+R30+W30</f>
        <v>6958</v>
      </c>
      <c r="Y30" s="30">
        <f t="shared" si="1"/>
        <v>0.34064980158730157</v>
      </c>
      <c r="Z30" s="30">
        <f t="shared" si="6"/>
        <v>0.67566517770440859</v>
      </c>
      <c r="AA30" s="123" t="s">
        <v>115</v>
      </c>
      <c r="AB30" s="255">
        <f>+AC30-V30</f>
        <v>20395</v>
      </c>
      <c r="AC30" s="35">
        <f t="shared" si="4"/>
        <v>30693</v>
      </c>
      <c r="AD30" s="165">
        <v>589</v>
      </c>
      <c r="AE30" s="299">
        <f>+X30+AD30</f>
        <v>7547</v>
      </c>
      <c r="AF30" s="30">
        <f>+AD30/AB30</f>
        <v>2.8879627359646973E-2</v>
      </c>
      <c r="AG30" s="30">
        <f>+AE30/AC30</f>
        <v>0.24588668426025478</v>
      </c>
      <c r="AH30" s="165">
        <f>+AC30-AE30</f>
        <v>23146</v>
      </c>
      <c r="AI30" s="298" t="s">
        <v>113</v>
      </c>
      <c r="AJ30" s="270" t="s">
        <v>95</v>
      </c>
      <c r="AK30" s="165"/>
      <c r="AL30" s="173" t="s">
        <v>229</v>
      </c>
    </row>
    <row r="31" spans="1:38" ht="390" hidden="1" x14ac:dyDescent="0.25">
      <c r="A31" s="248" t="s">
        <v>110</v>
      </c>
      <c r="B31" s="46" t="s">
        <v>101</v>
      </c>
      <c r="C31" s="59" t="s">
        <v>123</v>
      </c>
      <c r="D31" s="46" t="s">
        <v>211</v>
      </c>
      <c r="E31" s="2" t="s">
        <v>28</v>
      </c>
      <c r="F31" s="46" t="s">
        <v>175</v>
      </c>
      <c r="G31" s="46" t="s">
        <v>177</v>
      </c>
      <c r="H31" s="46" t="s">
        <v>190</v>
      </c>
      <c r="I31" s="59" t="s">
        <v>186</v>
      </c>
      <c r="J31" s="238">
        <v>0.7107</v>
      </c>
      <c r="K31" s="168">
        <v>0.61980000000000002</v>
      </c>
      <c r="L31" s="47">
        <v>0.5766</v>
      </c>
      <c r="M31" s="13">
        <v>0.58809999999999996</v>
      </c>
      <c r="N31" s="249">
        <f>+M31/L31</f>
        <v>1.0199445022545959</v>
      </c>
      <c r="O31" s="158">
        <v>0.5766</v>
      </c>
      <c r="P31" s="48">
        <v>0.5766</v>
      </c>
      <c r="Q31" s="32">
        <v>0.5706</v>
      </c>
      <c r="R31" s="13">
        <v>0.5706</v>
      </c>
      <c r="S31" s="32">
        <f t="shared" si="7"/>
        <v>0.98959417273673256</v>
      </c>
      <c r="T31" s="249">
        <f>+R31/$P31</f>
        <v>0.98959417273673256</v>
      </c>
      <c r="U31" s="51">
        <v>0.57720000000000005</v>
      </c>
      <c r="V31" s="34">
        <v>0.57720000000000005</v>
      </c>
      <c r="W31" s="325">
        <v>0.55569999999999997</v>
      </c>
      <c r="X31" s="60">
        <v>0.55569999999999997</v>
      </c>
      <c r="Y31" s="30">
        <f t="shared" si="1"/>
        <v>0.96275121275121267</v>
      </c>
      <c r="Z31" s="30">
        <f t="shared" si="6"/>
        <v>0.96275121275121267</v>
      </c>
      <c r="AA31" s="123" t="s">
        <v>146</v>
      </c>
      <c r="AB31" s="252">
        <v>0.57789999999999997</v>
      </c>
      <c r="AC31" s="26">
        <v>0.57789999999999997</v>
      </c>
      <c r="AD31" s="167"/>
      <c r="AE31" s="167"/>
      <c r="AF31" s="167"/>
      <c r="AG31" s="167"/>
      <c r="AH31" s="167">
        <v>0.7107</v>
      </c>
      <c r="AI31" s="70" t="s">
        <v>154</v>
      </c>
      <c r="AJ31" s="270" t="s">
        <v>92</v>
      </c>
      <c r="AK31" s="167"/>
      <c r="AL31" s="173" t="s">
        <v>230</v>
      </c>
    </row>
    <row r="32" spans="1:38" ht="110.25" hidden="1" customHeight="1" x14ac:dyDescent="0.25">
      <c r="A32" s="196" t="s">
        <v>111</v>
      </c>
      <c r="B32" s="46" t="s">
        <v>101</v>
      </c>
      <c r="C32" s="59" t="s">
        <v>127</v>
      </c>
      <c r="D32" s="46" t="s">
        <v>212</v>
      </c>
      <c r="E32" s="217" t="s">
        <v>29</v>
      </c>
      <c r="F32" s="46" t="s">
        <v>185</v>
      </c>
      <c r="G32" s="46" t="s">
        <v>180</v>
      </c>
      <c r="H32" s="46" t="s">
        <v>184</v>
      </c>
      <c r="I32" s="59" t="s">
        <v>183</v>
      </c>
      <c r="J32" s="9">
        <v>0.45</v>
      </c>
      <c r="K32" s="168">
        <v>0.33300000000000002</v>
      </c>
      <c r="L32" s="47">
        <v>0.34899999999999998</v>
      </c>
      <c r="M32" s="12">
        <v>0.34</v>
      </c>
      <c r="N32" s="123">
        <f t="shared" si="5"/>
        <v>0.97421203438395432</v>
      </c>
      <c r="O32" s="158">
        <v>0.36899999999999999</v>
      </c>
      <c r="P32" s="48">
        <v>0.36899999999999999</v>
      </c>
      <c r="Q32" s="15">
        <v>0.41399999999999998</v>
      </c>
      <c r="R32" s="15">
        <v>0.41399999999999998</v>
      </c>
      <c r="S32" s="30">
        <f t="shared" si="7"/>
        <v>1.121951219512195</v>
      </c>
      <c r="T32" s="123">
        <f t="shared" si="2"/>
        <v>1.121951219512195</v>
      </c>
      <c r="U32" s="125">
        <v>0.42099999999999999</v>
      </c>
      <c r="V32" s="34">
        <v>0.42099999999999999</v>
      </c>
      <c r="W32" s="301">
        <v>0.45400000000000001</v>
      </c>
      <c r="X32" s="301">
        <v>0.45400000000000001</v>
      </c>
      <c r="Y32" s="30">
        <f t="shared" si="1"/>
        <v>1.0783847980997625</v>
      </c>
      <c r="Z32" s="30">
        <f t="shared" si="6"/>
        <v>1.0783847980997625</v>
      </c>
      <c r="AA32" s="123"/>
      <c r="AB32" s="252">
        <v>0.45</v>
      </c>
      <c r="AC32" s="243">
        <f t="shared" ref="AC32:AC41" si="8">+J32</f>
        <v>0.45</v>
      </c>
      <c r="AD32" s="171">
        <v>0</v>
      </c>
      <c r="AE32" s="171">
        <v>0.45400000000000001</v>
      </c>
      <c r="AF32" s="168">
        <f>+AD32/AB32</f>
        <v>0</v>
      </c>
      <c r="AG32" s="168">
        <f>+AE32/AC32</f>
        <v>1.0088888888888889</v>
      </c>
      <c r="AH32" s="174">
        <f>+AC32-X32</f>
        <v>-4.0000000000000036E-3</v>
      </c>
      <c r="AI32" s="70"/>
      <c r="AJ32" s="270"/>
      <c r="AK32" s="174"/>
      <c r="AL32" s="68"/>
    </row>
    <row r="33" spans="1:41" ht="120" hidden="1" x14ac:dyDescent="0.25">
      <c r="A33" s="196" t="s">
        <v>111</v>
      </c>
      <c r="B33" s="46" t="s">
        <v>101</v>
      </c>
      <c r="C33" s="59" t="s">
        <v>127</v>
      </c>
      <c r="D33" s="46" t="s">
        <v>212</v>
      </c>
      <c r="E33" s="217" t="s">
        <v>30</v>
      </c>
      <c r="F33" s="46" t="s">
        <v>191</v>
      </c>
      <c r="G33" s="46" t="s">
        <v>177</v>
      </c>
      <c r="H33" s="46" t="s">
        <v>184</v>
      </c>
      <c r="I33" s="59" t="s">
        <v>183</v>
      </c>
      <c r="J33" s="9">
        <v>0.12</v>
      </c>
      <c r="K33" s="168">
        <v>0</v>
      </c>
      <c r="L33" s="47">
        <v>0.03</v>
      </c>
      <c r="M33" s="13">
        <v>2.9499999999999998E-2</v>
      </c>
      <c r="N33" s="123">
        <f t="shared" si="5"/>
        <v>0.98333333333333328</v>
      </c>
      <c r="O33" s="158">
        <v>0.06</v>
      </c>
      <c r="P33" s="48">
        <v>0.06</v>
      </c>
      <c r="Q33" s="13">
        <v>6.25E-2</v>
      </c>
      <c r="R33" s="291">
        <v>6.25E-2</v>
      </c>
      <c r="S33" s="30">
        <f t="shared" si="7"/>
        <v>1.0416666666666667</v>
      </c>
      <c r="T33" s="123">
        <f t="shared" si="2"/>
        <v>1.0416666666666667</v>
      </c>
      <c r="U33" s="125">
        <v>0.09</v>
      </c>
      <c r="V33" s="34">
        <v>0.09</v>
      </c>
      <c r="W33" s="313" t="s">
        <v>278</v>
      </c>
      <c r="X33" s="306" t="s">
        <v>278</v>
      </c>
      <c r="Y33" s="30" t="e">
        <f t="shared" si="1"/>
        <v>#VALUE!</v>
      </c>
      <c r="Z33" s="30" t="e">
        <f t="shared" si="6"/>
        <v>#VALUE!</v>
      </c>
      <c r="AA33" s="123" t="s">
        <v>146</v>
      </c>
      <c r="AB33" s="252">
        <v>0.12</v>
      </c>
      <c r="AC33" s="243">
        <f t="shared" si="8"/>
        <v>0.12</v>
      </c>
      <c r="AD33" s="168">
        <v>6.25E-2</v>
      </c>
      <c r="AE33" s="168">
        <v>6.25E-2</v>
      </c>
      <c r="AF33" s="174"/>
      <c r="AG33" s="174"/>
      <c r="AH33" s="174" t="e">
        <f>+AC33-X33</f>
        <v>#VALUE!</v>
      </c>
      <c r="AI33" s="70" t="s">
        <v>154</v>
      </c>
      <c r="AJ33" s="270"/>
      <c r="AK33" s="174"/>
      <c r="AL33" s="68"/>
    </row>
    <row r="34" spans="1:41" ht="240" hidden="1" x14ac:dyDescent="0.25">
      <c r="A34" s="196" t="s">
        <v>111</v>
      </c>
      <c r="B34" s="46" t="s">
        <v>101</v>
      </c>
      <c r="C34" s="59" t="s">
        <v>128</v>
      </c>
      <c r="D34" s="46" t="s">
        <v>211</v>
      </c>
      <c r="E34" s="2" t="s">
        <v>31</v>
      </c>
      <c r="F34" s="46" t="s">
        <v>185</v>
      </c>
      <c r="G34" s="46" t="s">
        <v>177</v>
      </c>
      <c r="H34" s="46" t="s">
        <v>184</v>
      </c>
      <c r="I34" s="59" t="s">
        <v>183</v>
      </c>
      <c r="J34" s="9">
        <v>0.08</v>
      </c>
      <c r="K34" s="168">
        <v>2.2599999999999999E-2</v>
      </c>
      <c r="L34" s="47">
        <v>0.03</v>
      </c>
      <c r="M34" s="15">
        <v>3.2000000000000001E-2</v>
      </c>
      <c r="N34" s="123">
        <f t="shared" si="5"/>
        <v>1.0666666666666667</v>
      </c>
      <c r="O34" s="158">
        <v>0.04</v>
      </c>
      <c r="P34" s="48">
        <v>0.04</v>
      </c>
      <c r="Q34" s="15">
        <f>+R34-M34</f>
        <v>2.4E-2</v>
      </c>
      <c r="R34" s="25">
        <v>5.6000000000000001E-2</v>
      </c>
      <c r="S34" s="30">
        <f t="shared" si="7"/>
        <v>0.6</v>
      </c>
      <c r="T34" s="123">
        <f t="shared" si="2"/>
        <v>1.4</v>
      </c>
      <c r="U34" s="125">
        <v>0.06</v>
      </c>
      <c r="V34" s="34">
        <v>0.06</v>
      </c>
      <c r="W34" s="319">
        <v>4.7500000000000001E-2</v>
      </c>
      <c r="X34" s="306">
        <v>4.7500000000000001E-2</v>
      </c>
      <c r="Y34" s="30">
        <f t="shared" si="1"/>
        <v>0.79166666666666674</v>
      </c>
      <c r="Z34" s="30">
        <f t="shared" si="6"/>
        <v>0.79166666666666674</v>
      </c>
      <c r="AA34" s="123" t="s">
        <v>118</v>
      </c>
      <c r="AB34" s="252">
        <v>0.08</v>
      </c>
      <c r="AC34" s="241">
        <f t="shared" si="8"/>
        <v>0.08</v>
      </c>
      <c r="AD34" s="174"/>
      <c r="AE34" s="174"/>
      <c r="AF34" s="174"/>
      <c r="AG34" s="174"/>
      <c r="AH34" s="174">
        <f>+AC34-X34</f>
        <v>3.2500000000000001E-2</v>
      </c>
      <c r="AI34" s="70" t="s">
        <v>113</v>
      </c>
      <c r="AJ34" s="271" t="s">
        <v>117</v>
      </c>
      <c r="AK34" s="174"/>
      <c r="AL34" s="68"/>
    </row>
    <row r="35" spans="1:41" ht="360" hidden="1" x14ac:dyDescent="0.25">
      <c r="A35" s="196" t="s">
        <v>111</v>
      </c>
      <c r="B35" s="46" t="s">
        <v>101</v>
      </c>
      <c r="C35" s="59" t="s">
        <v>129</v>
      </c>
      <c r="D35" s="46" t="s">
        <v>212</v>
      </c>
      <c r="E35" s="219" t="s">
        <v>32</v>
      </c>
      <c r="F35" s="46" t="s">
        <v>175</v>
      </c>
      <c r="G35" s="46" t="s">
        <v>178</v>
      </c>
      <c r="H35" s="46" t="s">
        <v>184</v>
      </c>
      <c r="I35" s="59" t="s">
        <v>183</v>
      </c>
      <c r="J35" s="188">
        <v>0.2</v>
      </c>
      <c r="K35" s="168">
        <v>0</v>
      </c>
      <c r="L35" s="47">
        <v>0.04</v>
      </c>
      <c r="M35" s="15">
        <v>4.6047929010066026E-2</v>
      </c>
      <c r="N35" s="123">
        <f t="shared" si="5"/>
        <v>1.1511982252516506</v>
      </c>
      <c r="O35" s="158">
        <v>0.09</v>
      </c>
      <c r="P35" s="48">
        <v>0.09</v>
      </c>
      <c r="Q35" s="13">
        <v>6.9900000000000004E-2</v>
      </c>
      <c r="R35" s="302">
        <v>6.9900000000000004E-2</v>
      </c>
      <c r="S35" s="30">
        <f t="shared" si="7"/>
        <v>0.77666666666666673</v>
      </c>
      <c r="T35" s="123">
        <f t="shared" si="2"/>
        <v>0.77666666666666673</v>
      </c>
      <c r="U35" s="125">
        <v>0.13</v>
      </c>
      <c r="V35" s="34">
        <v>0.13</v>
      </c>
      <c r="W35" s="301">
        <v>0.10009999999999999</v>
      </c>
      <c r="X35" s="301">
        <v>0.10009999999999999</v>
      </c>
      <c r="Y35" s="30">
        <f t="shared" si="1"/>
        <v>0.76999999999999991</v>
      </c>
      <c r="Z35" s="30">
        <f t="shared" si="6"/>
        <v>0.76999999999999991</v>
      </c>
      <c r="AA35" s="123" t="s">
        <v>115</v>
      </c>
      <c r="AB35" s="252">
        <v>0.2</v>
      </c>
      <c r="AC35" s="242">
        <f t="shared" si="8"/>
        <v>0.2</v>
      </c>
      <c r="AD35" s="167">
        <v>0.1077</v>
      </c>
      <c r="AE35" s="300">
        <v>0.1077</v>
      </c>
      <c r="AF35" s="30">
        <f>+AD35/AB35</f>
        <v>0.53849999999999998</v>
      </c>
      <c r="AG35" s="30">
        <f>+AE35/AC35</f>
        <v>0.53849999999999998</v>
      </c>
      <c r="AH35" s="168">
        <f>+AC35-AE35</f>
        <v>9.2300000000000007E-2</v>
      </c>
      <c r="AI35" s="298" t="s">
        <v>113</v>
      </c>
      <c r="AJ35" s="271" t="s">
        <v>119</v>
      </c>
      <c r="AK35" s="170"/>
      <c r="AL35" s="173" t="s">
        <v>231</v>
      </c>
      <c r="AM35" t="s">
        <v>273</v>
      </c>
    </row>
    <row r="36" spans="1:41" ht="102" hidden="1" customHeight="1" x14ac:dyDescent="0.25">
      <c r="A36" s="196" t="s">
        <v>111</v>
      </c>
      <c r="B36" s="46" t="s">
        <v>101</v>
      </c>
      <c r="C36" s="59" t="s">
        <v>130</v>
      </c>
      <c r="D36" s="46" t="s">
        <v>211</v>
      </c>
      <c r="E36" s="2" t="s">
        <v>33</v>
      </c>
      <c r="F36" s="46" t="s">
        <v>185</v>
      </c>
      <c r="G36" s="46" t="s">
        <v>177</v>
      </c>
      <c r="H36" s="46" t="s">
        <v>184</v>
      </c>
      <c r="I36" s="59" t="s">
        <v>183</v>
      </c>
      <c r="J36" s="10">
        <v>0.309</v>
      </c>
      <c r="K36" s="168">
        <v>0.27700000000000002</v>
      </c>
      <c r="L36" s="47">
        <v>0.28499999999999998</v>
      </c>
      <c r="M36" s="13">
        <v>0.26400000000000001</v>
      </c>
      <c r="N36" s="123">
        <f t="shared" si="5"/>
        <v>0.92631578947368431</v>
      </c>
      <c r="O36" s="158">
        <v>0.29299999999999998</v>
      </c>
      <c r="P36" s="48">
        <v>0.29299999999999998</v>
      </c>
      <c r="Q36" s="15">
        <v>0.35720000000000002</v>
      </c>
      <c r="R36" s="13">
        <v>0.35720000000000002</v>
      </c>
      <c r="S36" s="30">
        <f t="shared" si="7"/>
        <v>1.2191126279863482</v>
      </c>
      <c r="T36" s="123">
        <f t="shared" si="2"/>
        <v>1.2191126279863482</v>
      </c>
      <c r="U36" s="125">
        <v>0.30099999999999999</v>
      </c>
      <c r="V36" s="34">
        <v>0.30099999999999999</v>
      </c>
      <c r="W36" s="319">
        <v>0.32129999999999997</v>
      </c>
      <c r="X36" s="319">
        <v>0.32129999999999997</v>
      </c>
      <c r="Y36" s="30">
        <f t="shared" si="1"/>
        <v>1.0674418604651161</v>
      </c>
      <c r="Z36" s="30">
        <f t="shared" si="6"/>
        <v>1.0674418604651161</v>
      </c>
      <c r="AA36" s="123" t="s">
        <v>146</v>
      </c>
      <c r="AB36" s="252">
        <v>0.309</v>
      </c>
      <c r="AC36" s="243">
        <f t="shared" si="8"/>
        <v>0.309</v>
      </c>
      <c r="AD36" s="171"/>
      <c r="AE36" s="171"/>
      <c r="AF36" s="171"/>
      <c r="AG36" s="171"/>
      <c r="AH36" s="171">
        <v>0</v>
      </c>
      <c r="AI36" s="70" t="s">
        <v>154</v>
      </c>
      <c r="AJ36" s="270"/>
      <c r="AK36" s="171"/>
      <c r="AL36" s="68"/>
    </row>
    <row r="37" spans="1:41" ht="105.75" hidden="1" customHeight="1" x14ac:dyDescent="0.25">
      <c r="A37" s="196" t="s">
        <v>111</v>
      </c>
      <c r="B37" s="46" t="s">
        <v>101</v>
      </c>
      <c r="C37" s="59" t="s">
        <v>130</v>
      </c>
      <c r="D37" s="46" t="s">
        <v>211</v>
      </c>
      <c r="E37" s="2" t="s">
        <v>34</v>
      </c>
      <c r="F37" s="46" t="s">
        <v>191</v>
      </c>
      <c r="G37" s="46" t="s">
        <v>177</v>
      </c>
      <c r="H37" s="46" t="s">
        <v>184</v>
      </c>
      <c r="I37" s="59" t="s">
        <v>183</v>
      </c>
      <c r="J37" s="10">
        <v>0.29899999999999999</v>
      </c>
      <c r="K37" s="168">
        <v>0.217</v>
      </c>
      <c r="L37" s="47">
        <v>0.23799999999999999</v>
      </c>
      <c r="M37" s="21">
        <v>0.2326</v>
      </c>
      <c r="N37" s="123">
        <f t="shared" si="5"/>
        <v>0.97731092436974798</v>
      </c>
      <c r="O37" s="158">
        <v>0.25800000000000001</v>
      </c>
      <c r="P37" s="48">
        <v>0.25800000000000001</v>
      </c>
      <c r="Q37" s="15">
        <v>0.29870000000000002</v>
      </c>
      <c r="R37" s="13">
        <v>0.29870000000000002</v>
      </c>
      <c r="S37" s="30">
        <f t="shared" si="7"/>
        <v>1.1577519379844963</v>
      </c>
      <c r="T37" s="123">
        <f t="shared" si="2"/>
        <v>1.1577519379844963</v>
      </c>
      <c r="U37" s="125">
        <v>0.27900000000000003</v>
      </c>
      <c r="V37" s="34">
        <v>0.27900000000000003</v>
      </c>
      <c r="W37" s="319">
        <v>0.2084</v>
      </c>
      <c r="X37" s="319">
        <v>0.2084</v>
      </c>
      <c r="Y37" s="30">
        <f t="shared" ref="Y37:Y68" si="9">+W37/U37</f>
        <v>0.74695340501792107</v>
      </c>
      <c r="Z37" s="30">
        <f t="shared" si="6"/>
        <v>0.74695340501792107</v>
      </c>
      <c r="AA37" s="123" t="s">
        <v>146</v>
      </c>
      <c r="AB37" s="252">
        <v>0.29899999999999999</v>
      </c>
      <c r="AC37" s="243">
        <f t="shared" si="8"/>
        <v>0.29899999999999999</v>
      </c>
      <c r="AD37" s="171"/>
      <c r="AE37" s="171"/>
      <c r="AF37" s="171"/>
      <c r="AG37" s="171"/>
      <c r="AH37" s="171">
        <f>+AC37-X37</f>
        <v>9.0599999999999986E-2</v>
      </c>
      <c r="AI37" s="70" t="s">
        <v>154</v>
      </c>
      <c r="AJ37" s="270"/>
      <c r="AK37" s="171"/>
      <c r="AL37" s="68"/>
    </row>
    <row r="38" spans="1:41" ht="165" hidden="1" x14ac:dyDescent="0.25">
      <c r="A38" s="196" t="s">
        <v>111</v>
      </c>
      <c r="B38" s="46" t="s">
        <v>101</v>
      </c>
      <c r="C38" s="59" t="s">
        <v>130</v>
      </c>
      <c r="D38" s="46" t="s">
        <v>212</v>
      </c>
      <c r="E38" s="217" t="s">
        <v>35</v>
      </c>
      <c r="F38" s="46" t="s">
        <v>185</v>
      </c>
      <c r="G38" s="46" t="s">
        <v>177</v>
      </c>
      <c r="H38" s="46" t="s">
        <v>187</v>
      </c>
      <c r="I38" s="59" t="s">
        <v>197</v>
      </c>
      <c r="J38" s="29">
        <v>20</v>
      </c>
      <c r="K38" s="200">
        <v>27</v>
      </c>
      <c r="L38" s="49">
        <v>26</v>
      </c>
      <c r="M38" s="17">
        <v>24</v>
      </c>
      <c r="N38" s="123">
        <f>(K38-M38)/(K38-L38)</f>
        <v>3</v>
      </c>
      <c r="O38" s="160">
        <v>24</v>
      </c>
      <c r="P38" s="232">
        <v>24</v>
      </c>
      <c r="Q38" s="28">
        <v>26.11</v>
      </c>
      <c r="R38" s="20">
        <v>26.11</v>
      </c>
      <c r="S38" s="30">
        <f>+(K38-Q38)/(K38-O38)</f>
        <v>0.29666666666666686</v>
      </c>
      <c r="T38" s="123">
        <f>+(K38-R38)/(K38-J38)</f>
        <v>0.12714285714285722</v>
      </c>
      <c r="U38" s="56">
        <v>22</v>
      </c>
      <c r="V38" s="36">
        <v>22</v>
      </c>
      <c r="W38" s="326">
        <v>22.98</v>
      </c>
      <c r="X38" s="326">
        <v>22.98</v>
      </c>
      <c r="Y38" s="30">
        <f>+(K38-W38)/(K38-U38)</f>
        <v>0.80399999999999994</v>
      </c>
      <c r="Z38" s="30">
        <f>(K38-X38)/(K38-V38)</f>
        <v>0.80399999999999994</v>
      </c>
      <c r="AA38" s="123" t="s">
        <v>118</v>
      </c>
      <c r="AB38" s="255">
        <v>20</v>
      </c>
      <c r="AC38" s="35">
        <f t="shared" si="8"/>
        <v>20</v>
      </c>
      <c r="AD38" s="165"/>
      <c r="AE38" s="165"/>
      <c r="AF38" s="30">
        <f>(K38-AD38)/(K38-AB38)</f>
        <v>3.8571428571428572</v>
      </c>
      <c r="AG38" s="30">
        <f>+(K38-AE38)/(K38-AC38)</f>
        <v>3.8571428571428572</v>
      </c>
      <c r="AH38" s="165">
        <v>20</v>
      </c>
      <c r="AI38" s="70"/>
      <c r="AJ38" s="270"/>
      <c r="AK38" s="165"/>
      <c r="AL38" s="173" t="s">
        <v>232</v>
      </c>
    </row>
    <row r="39" spans="1:41" ht="97.5" hidden="1" customHeight="1" x14ac:dyDescent="0.25">
      <c r="A39" s="196" t="s">
        <v>111</v>
      </c>
      <c r="B39" s="46" t="s">
        <v>101</v>
      </c>
      <c r="C39" s="59" t="s">
        <v>127</v>
      </c>
      <c r="D39" s="46" t="s">
        <v>211</v>
      </c>
      <c r="E39" s="2" t="s">
        <v>36</v>
      </c>
      <c r="F39" s="46" t="s">
        <v>185</v>
      </c>
      <c r="G39" s="46" t="s">
        <v>177</v>
      </c>
      <c r="H39" s="46" t="s">
        <v>184</v>
      </c>
      <c r="I39" s="59" t="s">
        <v>183</v>
      </c>
      <c r="J39" s="37">
        <v>0.75</v>
      </c>
      <c r="K39" s="168">
        <v>0.53100000000000003</v>
      </c>
      <c r="L39" s="85">
        <v>0.58599999999999997</v>
      </c>
      <c r="M39" s="38">
        <v>0.52769999999999995</v>
      </c>
      <c r="N39" s="123">
        <f t="shared" si="5"/>
        <v>0.90051194539249146</v>
      </c>
      <c r="O39" s="220">
        <v>0.64100000000000001</v>
      </c>
      <c r="P39" s="48">
        <v>0.64100000000000001</v>
      </c>
      <c r="Q39" s="32">
        <f>+R39-M39</f>
        <v>4.8800000000000066E-2</v>
      </c>
      <c r="R39" s="39">
        <v>0.57650000000000001</v>
      </c>
      <c r="S39" s="30">
        <f t="shared" si="7"/>
        <v>7.6131045241809775E-2</v>
      </c>
      <c r="T39" s="123">
        <f t="shared" si="2"/>
        <v>0.89937597503900157</v>
      </c>
      <c r="U39" s="51">
        <v>0.69599999999999995</v>
      </c>
      <c r="V39" s="48">
        <v>0.69599999999999995</v>
      </c>
      <c r="W39" s="330">
        <v>0.57699999999999996</v>
      </c>
      <c r="X39" s="89">
        <v>0.57699999999999996</v>
      </c>
      <c r="Y39" s="30">
        <f t="shared" si="9"/>
        <v>0.82902298850574707</v>
      </c>
      <c r="Z39" s="30">
        <f t="shared" si="6"/>
        <v>0.82902298850574707</v>
      </c>
      <c r="AA39" s="123" t="s">
        <v>146</v>
      </c>
      <c r="AB39" s="252">
        <v>0.75</v>
      </c>
      <c r="AC39" s="244">
        <f t="shared" si="8"/>
        <v>0.75</v>
      </c>
      <c r="AD39" s="175"/>
      <c r="AE39" s="175"/>
      <c r="AF39" s="175"/>
      <c r="AG39" s="175"/>
      <c r="AH39" s="175">
        <f>+AC39-X39</f>
        <v>0.17300000000000004</v>
      </c>
      <c r="AI39" s="70" t="s">
        <v>154</v>
      </c>
      <c r="AJ39" s="270"/>
      <c r="AK39" s="175"/>
      <c r="AL39" s="68"/>
    </row>
    <row r="40" spans="1:41" ht="285" hidden="1" x14ac:dyDescent="0.25">
      <c r="A40" s="196" t="s">
        <v>111</v>
      </c>
      <c r="B40" s="46" t="s">
        <v>101</v>
      </c>
      <c r="C40" s="59" t="s">
        <v>127</v>
      </c>
      <c r="D40" s="46" t="s">
        <v>212</v>
      </c>
      <c r="E40" s="217" t="s">
        <v>157</v>
      </c>
      <c r="F40" s="46" t="s">
        <v>175</v>
      </c>
      <c r="G40" s="46" t="s">
        <v>177</v>
      </c>
      <c r="H40" s="46" t="s">
        <v>184</v>
      </c>
      <c r="I40" s="59" t="s">
        <v>183</v>
      </c>
      <c r="J40" s="289" t="s">
        <v>264</v>
      </c>
      <c r="K40" s="168">
        <v>0.29399999999999998</v>
      </c>
      <c r="L40" s="212" t="s">
        <v>262</v>
      </c>
      <c r="M40" s="13">
        <v>0.32</v>
      </c>
      <c r="N40" s="123">
        <f>32%/31.2%</f>
        <v>1.0256410256410258</v>
      </c>
      <c r="O40" s="158" t="s">
        <v>268</v>
      </c>
      <c r="P40" s="230" t="s">
        <v>263</v>
      </c>
      <c r="Q40" s="15">
        <v>0.40799999999999997</v>
      </c>
      <c r="R40" s="22">
        <v>0.40799999999999997</v>
      </c>
      <c r="S40" s="30">
        <f>40.8%/33%</f>
        <v>1.2363636363636363</v>
      </c>
      <c r="T40" s="123">
        <f>40.8%/33%</f>
        <v>1.2363636363636363</v>
      </c>
      <c r="U40" s="51" t="s">
        <v>267</v>
      </c>
      <c r="V40" s="93" t="s">
        <v>269</v>
      </c>
      <c r="W40" s="301" t="s">
        <v>279</v>
      </c>
      <c r="X40" s="301" t="s">
        <v>279</v>
      </c>
      <c r="Y40" s="30">
        <f>0.4293/0.366</f>
        <v>1.1729508196721312</v>
      </c>
      <c r="Z40" s="30" t="e">
        <f>+X40/36.6%</f>
        <v>#VALUE!</v>
      </c>
      <c r="AA40" s="123" t="s">
        <v>146</v>
      </c>
      <c r="AB40" s="72" t="s">
        <v>265</v>
      </c>
      <c r="AC40" s="288" t="s">
        <v>266</v>
      </c>
      <c r="AD40" s="171">
        <v>0.42930000000000001</v>
      </c>
      <c r="AE40" s="171">
        <v>0.42930000000000001</v>
      </c>
      <c r="AF40" s="296"/>
      <c r="AG40" s="296"/>
      <c r="AH40" s="171">
        <v>0.38</v>
      </c>
      <c r="AI40" s="70"/>
      <c r="AJ40" s="272" t="s">
        <v>91</v>
      </c>
      <c r="AK40" s="171"/>
      <c r="AL40" s="173" t="s">
        <v>233</v>
      </c>
      <c r="AM40" t="s">
        <v>274</v>
      </c>
      <c r="AO40" s="155"/>
    </row>
    <row r="41" spans="1:41" ht="120" hidden="1" x14ac:dyDescent="0.25">
      <c r="A41" s="196" t="s">
        <v>111</v>
      </c>
      <c r="B41" s="46" t="s">
        <v>101</v>
      </c>
      <c r="C41" s="59" t="s">
        <v>127</v>
      </c>
      <c r="D41" s="46" t="s">
        <v>211</v>
      </c>
      <c r="E41" s="2" t="s">
        <v>38</v>
      </c>
      <c r="F41" s="46" t="s">
        <v>191</v>
      </c>
      <c r="G41" s="46" t="s">
        <v>177</v>
      </c>
      <c r="H41" s="46" t="s">
        <v>184</v>
      </c>
      <c r="I41" s="59" t="s">
        <v>183</v>
      </c>
      <c r="J41" s="9">
        <v>0.22</v>
      </c>
      <c r="K41" s="168">
        <v>0</v>
      </c>
      <c r="L41" s="47">
        <v>0.05</v>
      </c>
      <c r="M41" s="13">
        <v>7.0000000000000007E-2</v>
      </c>
      <c r="N41" s="123">
        <f t="shared" ref="N41:N54" si="10">+M41/L41</f>
        <v>1.4000000000000001</v>
      </c>
      <c r="O41" s="158">
        <v>0.09</v>
      </c>
      <c r="P41" s="48">
        <v>0.09</v>
      </c>
      <c r="Q41" s="15">
        <f>+R41-M41</f>
        <v>3.4999999999999989E-2</v>
      </c>
      <c r="R41" s="22">
        <v>0.105</v>
      </c>
      <c r="S41" s="30">
        <f t="shared" ref="S41:S82" si="11">+Q41/O41</f>
        <v>0.38888888888888878</v>
      </c>
      <c r="T41" s="123">
        <f t="shared" si="2"/>
        <v>1.1666666666666667</v>
      </c>
      <c r="U41" s="125">
        <v>0.15</v>
      </c>
      <c r="V41" s="34">
        <v>0.15</v>
      </c>
      <c r="W41" s="325">
        <v>0.14000000000000001</v>
      </c>
      <c r="X41" s="325">
        <v>0.14000000000000001</v>
      </c>
      <c r="Y41" s="30">
        <f t="shared" si="9"/>
        <v>0.93333333333333346</v>
      </c>
      <c r="Z41" s="30">
        <f t="shared" ref="Z41:Z59" si="12">+X41/$V41</f>
        <v>0.93333333333333346</v>
      </c>
      <c r="AA41" s="123" t="s">
        <v>115</v>
      </c>
      <c r="AB41" s="252">
        <v>0.22</v>
      </c>
      <c r="AC41" s="241">
        <f t="shared" si="8"/>
        <v>0.22</v>
      </c>
      <c r="AD41" s="174"/>
      <c r="AE41" s="174"/>
      <c r="AF41" s="174"/>
      <c r="AG41" s="174"/>
      <c r="AH41" s="174">
        <f>+AC41-X41</f>
        <v>7.9999999999999988E-2</v>
      </c>
      <c r="AI41" s="70"/>
      <c r="AJ41" s="270"/>
      <c r="AK41" s="174"/>
      <c r="AL41" s="68"/>
    </row>
    <row r="42" spans="1:41" ht="409.5" hidden="1" x14ac:dyDescent="0.25">
      <c r="A42" s="196" t="s">
        <v>111</v>
      </c>
      <c r="B42" s="46" t="s">
        <v>101</v>
      </c>
      <c r="C42" s="59" t="s">
        <v>127</v>
      </c>
      <c r="D42" s="46" t="s">
        <v>211</v>
      </c>
      <c r="E42" s="2" t="s">
        <v>39</v>
      </c>
      <c r="F42" s="46" t="s">
        <v>175</v>
      </c>
      <c r="G42" s="46" t="s">
        <v>177</v>
      </c>
      <c r="H42" s="46" t="s">
        <v>188</v>
      </c>
      <c r="I42" s="59" t="s">
        <v>198</v>
      </c>
      <c r="J42" s="29">
        <v>8000</v>
      </c>
      <c r="K42" s="202">
        <v>5703</v>
      </c>
      <c r="L42" s="49">
        <v>1000</v>
      </c>
      <c r="M42" s="27">
        <v>1263</v>
      </c>
      <c r="N42" s="123">
        <f>+M42/L42</f>
        <v>1.2629999999999999</v>
      </c>
      <c r="O42" s="160">
        <v>2335</v>
      </c>
      <c r="P42" s="144">
        <v>2335</v>
      </c>
      <c r="Q42" s="29">
        <v>3713</v>
      </c>
      <c r="R42" s="27">
        <f>+Q42+M42</f>
        <v>4976</v>
      </c>
      <c r="S42" s="30">
        <f t="shared" si="11"/>
        <v>1.5901498929336189</v>
      </c>
      <c r="T42" s="123">
        <f t="shared" si="2"/>
        <v>2.131049250535332</v>
      </c>
      <c r="U42" s="56">
        <v>2367</v>
      </c>
      <c r="V42" s="36">
        <v>2367</v>
      </c>
      <c r="W42" s="304">
        <v>7017</v>
      </c>
      <c r="X42" s="304">
        <v>7017</v>
      </c>
      <c r="Y42" s="30">
        <f t="shared" si="9"/>
        <v>2.9645120405576679</v>
      </c>
      <c r="Z42" s="30">
        <f t="shared" si="12"/>
        <v>2.9645120405576679</v>
      </c>
      <c r="AA42" s="123" t="s">
        <v>118</v>
      </c>
      <c r="AB42" s="254">
        <v>2298</v>
      </c>
      <c r="AC42" s="35">
        <f>+L42+O42+U42+AB42</f>
        <v>8000</v>
      </c>
      <c r="AD42" s="165"/>
      <c r="AE42" s="165"/>
      <c r="AF42" s="165"/>
      <c r="AG42" s="165"/>
      <c r="AH42" s="165">
        <v>0</v>
      </c>
      <c r="AI42" s="70"/>
      <c r="AJ42" s="270"/>
      <c r="AK42" s="165"/>
      <c r="AL42" s="173" t="s">
        <v>234</v>
      </c>
    </row>
    <row r="43" spans="1:41" ht="240" hidden="1" x14ac:dyDescent="0.25">
      <c r="A43" s="196" t="s">
        <v>111</v>
      </c>
      <c r="B43" s="46" t="s">
        <v>101</v>
      </c>
      <c r="C43" s="59" t="s">
        <v>127</v>
      </c>
      <c r="D43" s="46" t="s">
        <v>211</v>
      </c>
      <c r="E43" s="2" t="s">
        <v>40</v>
      </c>
      <c r="F43" s="46" t="s">
        <v>191</v>
      </c>
      <c r="G43" s="46" t="s">
        <v>177</v>
      </c>
      <c r="H43" s="46" t="s">
        <v>190</v>
      </c>
      <c r="I43" s="59" t="s">
        <v>183</v>
      </c>
      <c r="J43" s="189">
        <v>0.1196</v>
      </c>
      <c r="K43" s="201">
        <v>9.4E-2</v>
      </c>
      <c r="L43" s="47">
        <v>0.10050000000000001</v>
      </c>
      <c r="M43" s="13">
        <v>9.0999999999999998E-2</v>
      </c>
      <c r="N43" s="123">
        <f>+M43/L43</f>
        <v>0.90547263681592027</v>
      </c>
      <c r="O43" s="158">
        <v>0.1069</v>
      </c>
      <c r="P43" s="48">
        <v>0.1069</v>
      </c>
      <c r="Q43" s="13">
        <f>+R43-M43</f>
        <v>9.5000000000000084E-3</v>
      </c>
      <c r="R43" s="13">
        <v>0.10050000000000001</v>
      </c>
      <c r="S43" s="30">
        <f t="shared" si="11"/>
        <v>8.8868101028999141E-2</v>
      </c>
      <c r="T43" s="123">
        <f t="shared" si="2"/>
        <v>0.94013096351730596</v>
      </c>
      <c r="U43" s="125">
        <v>0.1132</v>
      </c>
      <c r="V43" s="34">
        <v>0.1132</v>
      </c>
      <c r="W43" s="306" t="s">
        <v>278</v>
      </c>
      <c r="X43" s="306" t="s">
        <v>278</v>
      </c>
      <c r="Y43" s="30" t="e">
        <f t="shared" si="9"/>
        <v>#VALUE!</v>
      </c>
      <c r="Z43" s="30" t="e">
        <f t="shared" si="12"/>
        <v>#VALUE!</v>
      </c>
      <c r="AA43" s="123" t="s">
        <v>146</v>
      </c>
      <c r="AB43" s="256">
        <v>0.1196</v>
      </c>
      <c r="AC43" s="243">
        <f t="shared" ref="AC43:AC60" si="13">+J43</f>
        <v>0.1196</v>
      </c>
      <c r="AD43" s="171"/>
      <c r="AE43" s="171"/>
      <c r="AF43" s="171"/>
      <c r="AG43" s="171"/>
      <c r="AH43" s="171" t="e">
        <f>+AC43-X43</f>
        <v>#VALUE!</v>
      </c>
      <c r="AI43" s="70" t="s">
        <v>154</v>
      </c>
      <c r="AJ43" s="270"/>
      <c r="AK43" s="171"/>
      <c r="AL43" s="173" t="s">
        <v>235</v>
      </c>
    </row>
    <row r="44" spans="1:41" ht="165" hidden="1" x14ac:dyDescent="0.25">
      <c r="A44" s="196" t="s">
        <v>111</v>
      </c>
      <c r="B44" s="46" t="s">
        <v>101</v>
      </c>
      <c r="C44" s="59" t="s">
        <v>130</v>
      </c>
      <c r="D44" s="46" t="s">
        <v>212</v>
      </c>
      <c r="E44" s="217" t="s">
        <v>41</v>
      </c>
      <c r="F44" s="46" t="s">
        <v>175</v>
      </c>
      <c r="G44" s="59" t="s">
        <v>199</v>
      </c>
      <c r="H44" s="46" t="s">
        <v>184</v>
      </c>
      <c r="I44" s="59" t="s">
        <v>200</v>
      </c>
      <c r="J44" s="29">
        <v>4350</v>
      </c>
      <c r="K44" s="200">
        <v>2889</v>
      </c>
      <c r="L44" s="49">
        <v>3400</v>
      </c>
      <c r="M44" s="16">
        <v>3842</v>
      </c>
      <c r="N44" s="123">
        <f t="shared" si="10"/>
        <v>1.1299999999999999</v>
      </c>
      <c r="O44" s="160">
        <v>3700</v>
      </c>
      <c r="P44" s="233">
        <v>3700</v>
      </c>
      <c r="Q44" s="29">
        <v>4230</v>
      </c>
      <c r="R44" s="29">
        <v>4230</v>
      </c>
      <c r="S44" s="30">
        <f t="shared" si="11"/>
        <v>1.1432432432432433</v>
      </c>
      <c r="T44" s="123">
        <f t="shared" si="2"/>
        <v>1.1432432432432433</v>
      </c>
      <c r="U44" s="56">
        <v>4000</v>
      </c>
      <c r="V44" s="36">
        <v>4000</v>
      </c>
      <c r="W44" s="327">
        <v>4059</v>
      </c>
      <c r="X44" s="327">
        <v>4059</v>
      </c>
      <c r="Y44" s="30">
        <f t="shared" si="9"/>
        <v>1.01475</v>
      </c>
      <c r="Z44" s="30">
        <f t="shared" si="12"/>
        <v>1.01475</v>
      </c>
      <c r="AA44" s="123" t="s">
        <v>115</v>
      </c>
      <c r="AB44" s="255">
        <v>4350</v>
      </c>
      <c r="AC44" s="35">
        <f t="shared" si="13"/>
        <v>4350</v>
      </c>
      <c r="AD44" s="165">
        <v>3998</v>
      </c>
      <c r="AE44" s="165">
        <v>3998</v>
      </c>
      <c r="AF44" s="165"/>
      <c r="AG44" s="165"/>
      <c r="AH44" s="165">
        <f>+AC44-X44</f>
        <v>291</v>
      </c>
      <c r="AI44" s="70" t="s">
        <v>275</v>
      </c>
      <c r="AJ44" s="270"/>
      <c r="AK44" s="165"/>
      <c r="AL44" s="173" t="s">
        <v>236</v>
      </c>
      <c r="AM44" t="s">
        <v>275</v>
      </c>
    </row>
    <row r="45" spans="1:41" ht="90" hidden="1" x14ac:dyDescent="0.25">
      <c r="A45" s="196" t="s">
        <v>111</v>
      </c>
      <c r="B45" s="46" t="s">
        <v>101</v>
      </c>
      <c r="C45" s="59" t="s">
        <v>127</v>
      </c>
      <c r="D45" s="46" t="s">
        <v>212</v>
      </c>
      <c r="E45" s="217" t="s">
        <v>42</v>
      </c>
      <c r="F45" s="46" t="s">
        <v>185</v>
      </c>
      <c r="G45" s="46" t="s">
        <v>177</v>
      </c>
      <c r="H45" s="46" t="s">
        <v>184</v>
      </c>
      <c r="I45" s="59" t="s">
        <v>201</v>
      </c>
      <c r="J45" s="10">
        <v>5.6090000000000001E-2</v>
      </c>
      <c r="K45" s="168">
        <v>5.0700000000000002E-2</v>
      </c>
      <c r="L45" s="47">
        <v>5.0709999999999998E-2</v>
      </c>
      <c r="M45" s="32">
        <v>5.4199999999999998E-2</v>
      </c>
      <c r="N45" s="123">
        <f t="shared" si="10"/>
        <v>1.0688227174127392</v>
      </c>
      <c r="O45" s="158">
        <v>5.2449999999999997E-2</v>
      </c>
      <c r="P45" s="48">
        <v>5.2449999999999997E-2</v>
      </c>
      <c r="Q45" s="13">
        <v>5.6500000000000002E-2</v>
      </c>
      <c r="R45" s="13">
        <v>5.6500000000000002E-2</v>
      </c>
      <c r="S45" s="30">
        <f t="shared" si="11"/>
        <v>1.0772163965681603</v>
      </c>
      <c r="T45" s="123">
        <f t="shared" si="2"/>
        <v>1.0772163965681603</v>
      </c>
      <c r="U45" s="125">
        <v>5.3999999999999999E-2</v>
      </c>
      <c r="V45" s="34">
        <v>5.3999999999999999E-2</v>
      </c>
      <c r="W45" s="306" t="s">
        <v>278</v>
      </c>
      <c r="X45" s="306" t="s">
        <v>278</v>
      </c>
      <c r="Y45" s="30" t="e">
        <f t="shared" si="9"/>
        <v>#VALUE!</v>
      </c>
      <c r="Z45" s="30" t="e">
        <f t="shared" si="12"/>
        <v>#VALUE!</v>
      </c>
      <c r="AA45" s="123" t="s">
        <v>146</v>
      </c>
      <c r="AB45" s="252">
        <v>5.6099999999999997E-2</v>
      </c>
      <c r="AC45" s="243">
        <f t="shared" si="13"/>
        <v>5.6090000000000001E-2</v>
      </c>
      <c r="AD45" s="171">
        <v>0</v>
      </c>
      <c r="AE45" s="171">
        <v>0</v>
      </c>
      <c r="AF45" s="171"/>
      <c r="AG45" s="171"/>
      <c r="AH45" s="171" t="e">
        <f>+AC45-X45</f>
        <v>#VALUE!</v>
      </c>
      <c r="AI45" s="70" t="s">
        <v>154</v>
      </c>
      <c r="AJ45" s="270"/>
      <c r="AK45" s="171"/>
      <c r="AL45" s="68"/>
    </row>
    <row r="46" spans="1:41" ht="90" hidden="1" x14ac:dyDescent="0.25">
      <c r="A46" s="196" t="s">
        <v>111</v>
      </c>
      <c r="B46" s="46" t="s">
        <v>101</v>
      </c>
      <c r="C46" s="59" t="s">
        <v>127</v>
      </c>
      <c r="D46" s="46" t="s">
        <v>212</v>
      </c>
      <c r="E46" s="217" t="s">
        <v>43</v>
      </c>
      <c r="F46" s="46" t="s">
        <v>185</v>
      </c>
      <c r="G46" s="46" t="s">
        <v>177</v>
      </c>
      <c r="H46" s="46" t="s">
        <v>184</v>
      </c>
      <c r="I46" s="59" t="s">
        <v>202</v>
      </c>
      <c r="J46" s="29">
        <v>2720</v>
      </c>
      <c r="K46" s="200">
        <v>2012</v>
      </c>
      <c r="L46" s="49">
        <v>2109</v>
      </c>
      <c r="M46" s="29">
        <v>2027</v>
      </c>
      <c r="N46" s="123">
        <f t="shared" si="10"/>
        <v>0.96111901375059272</v>
      </c>
      <c r="O46" s="160">
        <v>2230</v>
      </c>
      <c r="P46" s="233">
        <v>2230</v>
      </c>
      <c r="Q46" s="29">
        <v>2477</v>
      </c>
      <c r="R46" s="27">
        <v>2477</v>
      </c>
      <c r="S46" s="30">
        <f t="shared" si="11"/>
        <v>1.1107623318385651</v>
      </c>
      <c r="T46" s="123">
        <f t="shared" si="2"/>
        <v>1.1107623318385651</v>
      </c>
      <c r="U46" s="56">
        <v>2545</v>
      </c>
      <c r="V46" s="36">
        <v>2545</v>
      </c>
      <c r="W46" s="314">
        <v>2808</v>
      </c>
      <c r="X46" s="314">
        <v>2808</v>
      </c>
      <c r="Y46" s="30">
        <f t="shared" si="9"/>
        <v>1.1033398821218074</v>
      </c>
      <c r="Z46" s="30">
        <f t="shared" si="12"/>
        <v>1.1033398821218074</v>
      </c>
      <c r="AA46" s="123"/>
      <c r="AB46" s="255">
        <v>2720</v>
      </c>
      <c r="AC46" s="35">
        <f t="shared" si="13"/>
        <v>2720</v>
      </c>
      <c r="AD46" s="165">
        <v>0</v>
      </c>
      <c r="AE46" s="165">
        <v>2808</v>
      </c>
      <c r="AF46" s="168">
        <f>+AD46/AB46</f>
        <v>0</v>
      </c>
      <c r="AG46" s="168">
        <f>+AE46/AC46</f>
        <v>1.0323529411764707</v>
      </c>
      <c r="AH46" s="165">
        <f>+AC46-X46</f>
        <v>-88</v>
      </c>
      <c r="AI46" s="70"/>
      <c r="AJ46" s="270"/>
      <c r="AK46" s="165"/>
      <c r="AL46" s="68"/>
    </row>
    <row r="47" spans="1:41" ht="360" hidden="1" x14ac:dyDescent="0.25">
      <c r="A47" s="196" t="s">
        <v>111</v>
      </c>
      <c r="B47" s="46" t="s">
        <v>101</v>
      </c>
      <c r="C47" s="59" t="s">
        <v>129</v>
      </c>
      <c r="D47" s="46" t="s">
        <v>212</v>
      </c>
      <c r="E47" s="219" t="s">
        <v>44</v>
      </c>
      <c r="F47" s="46" t="s">
        <v>175</v>
      </c>
      <c r="G47" s="46" t="s">
        <v>178</v>
      </c>
      <c r="H47" s="46" t="s">
        <v>184</v>
      </c>
      <c r="I47" s="59" t="s">
        <v>193</v>
      </c>
      <c r="J47" s="29">
        <v>1500000</v>
      </c>
      <c r="K47" s="200">
        <v>0</v>
      </c>
      <c r="L47" s="49">
        <v>305516</v>
      </c>
      <c r="M47" s="163">
        <v>316895</v>
      </c>
      <c r="N47" s="123">
        <f t="shared" si="10"/>
        <v>1.0372451851948834</v>
      </c>
      <c r="O47" s="160">
        <v>687411</v>
      </c>
      <c r="P47" s="144">
        <v>687411</v>
      </c>
      <c r="Q47" s="29">
        <v>512169</v>
      </c>
      <c r="R47" s="294">
        <v>512169</v>
      </c>
      <c r="S47" s="30">
        <f>+Q47/O47</f>
        <v>0.745069543548183</v>
      </c>
      <c r="T47" s="123">
        <f t="shared" si="2"/>
        <v>0.745069543548183</v>
      </c>
      <c r="U47" s="56">
        <v>1000000</v>
      </c>
      <c r="V47" s="36">
        <v>1000000</v>
      </c>
      <c r="W47" s="328">
        <v>730411</v>
      </c>
      <c r="X47" s="295">
        <v>730411</v>
      </c>
      <c r="Y47" s="30">
        <f>+W47/U47</f>
        <v>0.73041100000000003</v>
      </c>
      <c r="Z47" s="30">
        <f t="shared" si="12"/>
        <v>0.73041100000000003</v>
      </c>
      <c r="AA47" s="123" t="s">
        <v>115</v>
      </c>
      <c r="AB47" s="255">
        <v>1500000</v>
      </c>
      <c r="AC47" s="35">
        <f t="shared" si="13"/>
        <v>1500000</v>
      </c>
      <c r="AD47" s="165">
        <v>793607</v>
      </c>
      <c r="AE47" s="299">
        <v>793607</v>
      </c>
      <c r="AF47" s="30">
        <f>+AD47/AB47</f>
        <v>0.52907133333333334</v>
      </c>
      <c r="AG47" s="30">
        <f>+AE47/AC47</f>
        <v>0.52907133333333334</v>
      </c>
      <c r="AH47" s="165">
        <f>+AC47-AE47</f>
        <v>706393</v>
      </c>
      <c r="AI47" s="298" t="s">
        <v>113</v>
      </c>
      <c r="AJ47" s="270" t="s">
        <v>148</v>
      </c>
      <c r="AK47" s="165"/>
      <c r="AL47" s="173" t="s">
        <v>237</v>
      </c>
      <c r="AM47" t="s">
        <v>273</v>
      </c>
    </row>
    <row r="48" spans="1:41" ht="360" hidden="1" x14ac:dyDescent="0.25">
      <c r="A48" s="197" t="s">
        <v>112</v>
      </c>
      <c r="B48" s="46" t="s">
        <v>99</v>
      </c>
      <c r="C48" s="59" t="s">
        <v>131</v>
      </c>
      <c r="D48" s="46" t="s">
        <v>212</v>
      </c>
      <c r="E48" s="217" t="s">
        <v>45</v>
      </c>
      <c r="F48" s="46" t="s">
        <v>185</v>
      </c>
      <c r="G48" s="46" t="s">
        <v>177</v>
      </c>
      <c r="H48" s="46" t="s">
        <v>184</v>
      </c>
      <c r="I48" s="59" t="s">
        <v>186</v>
      </c>
      <c r="J48" s="32">
        <v>0.2</v>
      </c>
      <c r="K48" s="203">
        <v>0.14899999999999999</v>
      </c>
      <c r="L48" s="47">
        <v>0.16</v>
      </c>
      <c r="M48" s="32">
        <v>0.157</v>
      </c>
      <c r="N48" s="123">
        <f t="shared" si="10"/>
        <v>0.98124999999999996</v>
      </c>
      <c r="O48" s="181">
        <v>0.17299999999999999</v>
      </c>
      <c r="P48" s="48">
        <v>0.17299999999999999</v>
      </c>
      <c r="Q48" s="32">
        <v>0.16900000000000001</v>
      </c>
      <c r="R48" s="32">
        <v>0.16900000000000001</v>
      </c>
      <c r="S48" s="30">
        <f t="shared" si="11"/>
        <v>0.97687861271676313</v>
      </c>
      <c r="T48" s="123">
        <f>+R48/$P48</f>
        <v>0.97687861271676313</v>
      </c>
      <c r="U48" s="125">
        <v>0.187</v>
      </c>
      <c r="V48" s="34">
        <v>0.187</v>
      </c>
      <c r="W48" s="90" t="s">
        <v>278</v>
      </c>
      <c r="X48" s="90" t="s">
        <v>278</v>
      </c>
      <c r="Y48" s="30" t="e">
        <f t="shared" si="9"/>
        <v>#VALUE!</v>
      </c>
      <c r="Z48" s="30" t="e">
        <f t="shared" si="12"/>
        <v>#VALUE!</v>
      </c>
      <c r="AA48" s="123" t="s">
        <v>146</v>
      </c>
      <c r="AB48" s="259">
        <v>0.2</v>
      </c>
      <c r="AC48" s="33">
        <f t="shared" si="13"/>
        <v>0.2</v>
      </c>
      <c r="AD48" s="168">
        <v>0.16900000000000001</v>
      </c>
      <c r="AE48" s="168">
        <v>0.16900000000000001</v>
      </c>
      <c r="AF48" s="168"/>
      <c r="AG48" s="168"/>
      <c r="AH48" s="168">
        <v>0.2</v>
      </c>
      <c r="AI48" s="70" t="s">
        <v>154</v>
      </c>
      <c r="AJ48" s="270"/>
      <c r="AK48" s="168"/>
      <c r="AL48" s="173" t="s">
        <v>238</v>
      </c>
    </row>
    <row r="49" spans="1:39" ht="165" hidden="1" x14ac:dyDescent="0.25">
      <c r="A49" s="197" t="s">
        <v>112</v>
      </c>
      <c r="B49" s="46" t="s">
        <v>281</v>
      </c>
      <c r="C49" s="59" t="s">
        <v>132</v>
      </c>
      <c r="D49" s="46" t="s">
        <v>211</v>
      </c>
      <c r="E49" s="2" t="s">
        <v>46</v>
      </c>
      <c r="F49" s="46" t="s">
        <v>175</v>
      </c>
      <c r="G49" s="46" t="s">
        <v>203</v>
      </c>
      <c r="H49" s="46" t="s">
        <v>184</v>
      </c>
      <c r="I49" s="59" t="s">
        <v>183</v>
      </c>
      <c r="J49" s="32">
        <v>0.9</v>
      </c>
      <c r="K49" s="168">
        <v>0.68</v>
      </c>
      <c r="L49" s="47">
        <v>0.7</v>
      </c>
      <c r="M49" s="32">
        <v>0.74099999999999999</v>
      </c>
      <c r="N49" s="123">
        <f t="shared" si="10"/>
        <v>1.0585714285714287</v>
      </c>
      <c r="O49" s="181">
        <v>0.76</v>
      </c>
      <c r="P49" s="48">
        <v>0.76</v>
      </c>
      <c r="Q49" s="32">
        <v>0.78300000000000003</v>
      </c>
      <c r="R49" s="32">
        <v>0.78300000000000003</v>
      </c>
      <c r="S49" s="30">
        <f t="shared" si="11"/>
        <v>1.0302631578947368</v>
      </c>
      <c r="T49" s="123">
        <f t="shared" si="2"/>
        <v>1.0302631578947368</v>
      </c>
      <c r="U49" s="125">
        <v>0.83</v>
      </c>
      <c r="V49" s="34">
        <v>0.83</v>
      </c>
      <c r="W49" s="301">
        <v>0.62629999999999997</v>
      </c>
      <c r="X49" s="44">
        <v>0.62629999999999997</v>
      </c>
      <c r="Y49" s="30">
        <f t="shared" si="9"/>
        <v>0.75457831325301206</v>
      </c>
      <c r="Z49" s="30">
        <f t="shared" si="12"/>
        <v>0.75457831325301206</v>
      </c>
      <c r="AA49" s="123" t="s">
        <v>115</v>
      </c>
      <c r="AB49" s="260">
        <v>0.9</v>
      </c>
      <c r="AC49" s="33">
        <f t="shared" si="13"/>
        <v>0.9</v>
      </c>
      <c r="AD49" s="168"/>
      <c r="AE49" s="168"/>
      <c r="AF49" s="168"/>
      <c r="AG49" s="168"/>
      <c r="AH49" s="168">
        <v>0.9</v>
      </c>
      <c r="AI49" s="72"/>
      <c r="AJ49" s="270"/>
      <c r="AK49" s="168"/>
      <c r="AL49" s="173" t="s">
        <v>239</v>
      </c>
    </row>
    <row r="50" spans="1:39" ht="195" x14ac:dyDescent="0.25">
      <c r="A50" s="197" t="s">
        <v>112</v>
      </c>
      <c r="B50" s="46" t="s">
        <v>99</v>
      </c>
      <c r="C50" s="59" t="s">
        <v>133</v>
      </c>
      <c r="D50" s="46" t="s">
        <v>211</v>
      </c>
      <c r="E50" s="2" t="s">
        <v>47</v>
      </c>
      <c r="F50" s="46" t="s">
        <v>175</v>
      </c>
      <c r="G50" s="46" t="s">
        <v>180</v>
      </c>
      <c r="H50" s="46" t="s">
        <v>184</v>
      </c>
      <c r="I50" s="59" t="s">
        <v>193</v>
      </c>
      <c r="J50" s="29">
        <v>2000</v>
      </c>
      <c r="K50" s="200">
        <v>117</v>
      </c>
      <c r="L50" s="49">
        <v>250</v>
      </c>
      <c r="M50" s="16">
        <v>246</v>
      </c>
      <c r="N50" s="123">
        <f t="shared" si="10"/>
        <v>0.98399999999999999</v>
      </c>
      <c r="O50" s="161">
        <v>500</v>
      </c>
      <c r="P50" s="82">
        <v>500</v>
      </c>
      <c r="Q50" s="29">
        <f>+R50-M50</f>
        <v>195</v>
      </c>
      <c r="R50" s="16">
        <v>441</v>
      </c>
      <c r="S50" s="30">
        <f t="shared" si="11"/>
        <v>0.39</v>
      </c>
      <c r="T50" s="123">
        <f t="shared" si="2"/>
        <v>0.88200000000000001</v>
      </c>
      <c r="U50" s="56">
        <v>1000</v>
      </c>
      <c r="V50" s="36">
        <v>1000</v>
      </c>
      <c r="W50" s="322">
        <v>621</v>
      </c>
      <c r="X50" s="323">
        <v>621</v>
      </c>
      <c r="Y50" s="30">
        <f t="shared" si="9"/>
        <v>0.621</v>
      </c>
      <c r="Z50" s="30">
        <f t="shared" si="12"/>
        <v>0.621</v>
      </c>
      <c r="AA50" s="123" t="s">
        <v>120</v>
      </c>
      <c r="AB50" s="255">
        <v>2000</v>
      </c>
      <c r="AC50" s="35">
        <f t="shared" si="13"/>
        <v>2000</v>
      </c>
      <c r="AD50" s="165"/>
      <c r="AE50" s="165"/>
      <c r="AF50" s="165"/>
      <c r="AG50" s="165"/>
      <c r="AH50" s="165">
        <f>+AC50-X50</f>
        <v>1379</v>
      </c>
      <c r="AI50" s="73"/>
      <c r="AJ50" s="273"/>
      <c r="AK50" s="165"/>
      <c r="AL50" s="68"/>
    </row>
    <row r="51" spans="1:39" ht="153.75" hidden="1" customHeight="1" x14ac:dyDescent="0.25">
      <c r="A51" s="197" t="s">
        <v>112</v>
      </c>
      <c r="B51" s="46" t="s">
        <v>99</v>
      </c>
      <c r="C51" s="59" t="s">
        <v>134</v>
      </c>
      <c r="D51" s="46" t="s">
        <v>211</v>
      </c>
      <c r="E51" s="2" t="s">
        <v>48</v>
      </c>
      <c r="F51" s="46" t="s">
        <v>191</v>
      </c>
      <c r="G51" s="46" t="s">
        <v>178</v>
      </c>
      <c r="H51" s="46" t="s">
        <v>184</v>
      </c>
      <c r="I51" s="59" t="s">
        <v>183</v>
      </c>
      <c r="J51" s="13">
        <v>0.9</v>
      </c>
      <c r="K51" s="168">
        <v>0.16500000000000001</v>
      </c>
      <c r="L51" s="50">
        <v>0.25</v>
      </c>
      <c r="M51" s="13">
        <v>0.216</v>
      </c>
      <c r="N51" s="123">
        <f t="shared" si="10"/>
        <v>0.86399999999999999</v>
      </c>
      <c r="O51" s="159">
        <v>0.4</v>
      </c>
      <c r="P51" s="150">
        <v>0.4</v>
      </c>
      <c r="Q51" s="32">
        <f>+R51-M51</f>
        <v>4.5000000000000012E-2</v>
      </c>
      <c r="R51" s="13">
        <v>0.26100000000000001</v>
      </c>
      <c r="S51" s="30">
        <f t="shared" si="11"/>
        <v>0.11250000000000003</v>
      </c>
      <c r="T51" s="123">
        <f t="shared" si="2"/>
        <v>0.65249999999999997</v>
      </c>
      <c r="U51" s="61">
        <v>0.6</v>
      </c>
      <c r="V51" s="26">
        <v>0.6</v>
      </c>
      <c r="W51" s="318">
        <v>0.38</v>
      </c>
      <c r="X51" s="13">
        <v>0.38</v>
      </c>
      <c r="Y51" s="30">
        <f t="shared" si="9"/>
        <v>0.63333333333333341</v>
      </c>
      <c r="Z51" s="30">
        <f t="shared" si="12"/>
        <v>0.63333333333333341</v>
      </c>
      <c r="AA51" s="123" t="s">
        <v>115</v>
      </c>
      <c r="AB51" s="261">
        <v>0.9</v>
      </c>
      <c r="AC51" s="26">
        <f t="shared" si="13"/>
        <v>0.9</v>
      </c>
      <c r="AD51" s="167"/>
      <c r="AE51" s="167"/>
      <c r="AF51" s="167"/>
      <c r="AG51" s="167"/>
      <c r="AH51" s="167">
        <f>+AC51-X51</f>
        <v>0.52</v>
      </c>
      <c r="AI51" s="74"/>
      <c r="AJ51" s="270"/>
      <c r="AK51" s="167"/>
      <c r="AL51" s="173" t="s">
        <v>240</v>
      </c>
    </row>
    <row r="52" spans="1:39" ht="225" hidden="1" x14ac:dyDescent="0.25">
      <c r="A52" s="197" t="s">
        <v>112</v>
      </c>
      <c r="B52" s="46" t="s">
        <v>99</v>
      </c>
      <c r="C52" s="59" t="s">
        <v>131</v>
      </c>
      <c r="D52" s="46" t="s">
        <v>211</v>
      </c>
      <c r="E52" s="2" t="s">
        <v>49</v>
      </c>
      <c r="F52" s="46" t="s">
        <v>185</v>
      </c>
      <c r="G52" s="46" t="s">
        <v>177</v>
      </c>
      <c r="H52" s="46" t="s">
        <v>184</v>
      </c>
      <c r="I52" s="59" t="s">
        <v>183</v>
      </c>
      <c r="J52" s="13">
        <v>0.13200000000000001</v>
      </c>
      <c r="K52" s="168">
        <v>3.4000000000000002E-2</v>
      </c>
      <c r="L52" s="47">
        <v>0.04</v>
      </c>
      <c r="M52" s="13">
        <v>4.7E-2</v>
      </c>
      <c r="N52" s="123">
        <f t="shared" si="10"/>
        <v>1.175</v>
      </c>
      <c r="O52" s="181">
        <v>0.06</v>
      </c>
      <c r="P52" s="48">
        <v>0.06</v>
      </c>
      <c r="Q52" s="96">
        <f>+R52-M52</f>
        <v>0</v>
      </c>
      <c r="R52" s="14">
        <f>+M52</f>
        <v>4.7E-2</v>
      </c>
      <c r="S52" s="30">
        <f t="shared" si="11"/>
        <v>0</v>
      </c>
      <c r="T52" s="123">
        <f t="shared" si="2"/>
        <v>0.78333333333333333</v>
      </c>
      <c r="U52" s="125">
        <v>0.09</v>
      </c>
      <c r="V52" s="34">
        <v>0.09</v>
      </c>
      <c r="W52" s="90" t="s">
        <v>278</v>
      </c>
      <c r="X52" s="90" t="s">
        <v>278</v>
      </c>
      <c r="Y52" s="30" t="e">
        <f t="shared" si="9"/>
        <v>#VALUE!</v>
      </c>
      <c r="Z52" s="30" t="e">
        <f t="shared" si="12"/>
        <v>#VALUE!</v>
      </c>
      <c r="AA52" s="123" t="s">
        <v>147</v>
      </c>
      <c r="AB52" s="261">
        <v>0.13200000000000001</v>
      </c>
      <c r="AC52" s="26">
        <f t="shared" si="13"/>
        <v>0.13200000000000001</v>
      </c>
      <c r="AD52" s="167"/>
      <c r="AE52" s="167"/>
      <c r="AF52" s="167"/>
      <c r="AG52" s="167"/>
      <c r="AH52" s="167" t="e">
        <f>+AC52-X52</f>
        <v>#VALUE!</v>
      </c>
      <c r="AI52" s="70" t="s">
        <v>154</v>
      </c>
      <c r="AJ52" s="270" t="s">
        <v>109</v>
      </c>
      <c r="AK52" s="167"/>
      <c r="AL52" s="173" t="s">
        <v>241</v>
      </c>
    </row>
    <row r="53" spans="1:39" ht="225" hidden="1" x14ac:dyDescent="0.25">
      <c r="A53" s="197" t="s">
        <v>112</v>
      </c>
      <c r="B53" s="46" t="s">
        <v>99</v>
      </c>
      <c r="C53" s="59" t="s">
        <v>131</v>
      </c>
      <c r="D53" s="46" t="s">
        <v>211</v>
      </c>
      <c r="E53" s="2" t="s">
        <v>50</v>
      </c>
      <c r="F53" s="46" t="s">
        <v>185</v>
      </c>
      <c r="G53" s="46" t="s">
        <v>177</v>
      </c>
      <c r="H53" s="46" t="s">
        <v>184</v>
      </c>
      <c r="I53" s="59" t="s">
        <v>183</v>
      </c>
      <c r="J53" s="32">
        <v>0.14699999999999999</v>
      </c>
      <c r="K53" s="168">
        <v>9.2999999999999999E-2</v>
      </c>
      <c r="L53" s="47">
        <v>0.105</v>
      </c>
      <c r="M53" s="32">
        <v>0.17</v>
      </c>
      <c r="N53" s="123">
        <f t="shared" si="10"/>
        <v>1.6190476190476193</v>
      </c>
      <c r="O53" s="181">
        <v>0.12</v>
      </c>
      <c r="P53" s="48">
        <v>0.12</v>
      </c>
      <c r="Q53" s="96">
        <v>0</v>
      </c>
      <c r="R53" s="31">
        <v>0</v>
      </c>
      <c r="S53" s="30">
        <f t="shared" si="11"/>
        <v>0</v>
      </c>
      <c r="T53" s="123">
        <f t="shared" si="2"/>
        <v>0</v>
      </c>
      <c r="U53" s="125">
        <v>0.13</v>
      </c>
      <c r="V53" s="34">
        <v>0.13</v>
      </c>
      <c r="W53" s="90" t="s">
        <v>278</v>
      </c>
      <c r="X53" s="90" t="s">
        <v>278</v>
      </c>
      <c r="Y53" s="30" t="e">
        <f t="shared" si="9"/>
        <v>#VALUE!</v>
      </c>
      <c r="Z53" s="30" t="e">
        <f t="shared" si="12"/>
        <v>#VALUE!</v>
      </c>
      <c r="AA53" s="123" t="s">
        <v>147</v>
      </c>
      <c r="AB53" s="261">
        <v>0.14699999999999999</v>
      </c>
      <c r="AC53" s="33">
        <f t="shared" si="13"/>
        <v>0.14699999999999999</v>
      </c>
      <c r="AD53" s="168"/>
      <c r="AE53" s="168"/>
      <c r="AF53" s="168"/>
      <c r="AG53" s="168"/>
      <c r="AH53" s="168" t="e">
        <f>+AC53-X53</f>
        <v>#VALUE!</v>
      </c>
      <c r="AI53" s="70" t="s">
        <v>154</v>
      </c>
      <c r="AJ53" s="270" t="s">
        <v>109</v>
      </c>
      <c r="AK53" s="168"/>
      <c r="AL53" s="173" t="s">
        <v>242</v>
      </c>
    </row>
    <row r="54" spans="1:39" ht="285" hidden="1" x14ac:dyDescent="0.25">
      <c r="A54" s="197" t="s">
        <v>112</v>
      </c>
      <c r="B54" s="46" t="s">
        <v>99</v>
      </c>
      <c r="C54" s="59" t="s">
        <v>131</v>
      </c>
      <c r="D54" s="46" t="s">
        <v>211</v>
      </c>
      <c r="E54" s="166" t="s">
        <v>51</v>
      </c>
      <c r="F54" s="46" t="s">
        <v>185</v>
      </c>
      <c r="G54" s="46" t="s">
        <v>177</v>
      </c>
      <c r="H54" s="46" t="s">
        <v>184</v>
      </c>
      <c r="I54" s="59" t="s">
        <v>183</v>
      </c>
      <c r="J54" s="32">
        <v>0.15</v>
      </c>
      <c r="K54" s="168">
        <v>0.1</v>
      </c>
      <c r="L54" s="47">
        <v>0.112</v>
      </c>
      <c r="M54" s="32">
        <v>0.1</v>
      </c>
      <c r="N54" s="123">
        <f t="shared" si="10"/>
        <v>0.8928571428571429</v>
      </c>
      <c r="O54" s="181">
        <v>0.124</v>
      </c>
      <c r="P54" s="48">
        <v>0.124</v>
      </c>
      <c r="Q54" s="32">
        <v>9.11E-2</v>
      </c>
      <c r="R54" s="32">
        <v>9.11E-2</v>
      </c>
      <c r="S54" s="30">
        <f t="shared" si="11"/>
        <v>0.73467741935483877</v>
      </c>
      <c r="T54" s="123">
        <f t="shared" si="2"/>
        <v>0.73467741935483877</v>
      </c>
      <c r="U54" s="125">
        <v>0.13700000000000001</v>
      </c>
      <c r="V54" s="34">
        <v>0.13700000000000001</v>
      </c>
      <c r="W54" s="90" t="s">
        <v>278</v>
      </c>
      <c r="X54" s="90" t="s">
        <v>278</v>
      </c>
      <c r="Y54" s="30" t="e">
        <f t="shared" si="9"/>
        <v>#VALUE!</v>
      </c>
      <c r="Z54" s="30" t="e">
        <f t="shared" si="12"/>
        <v>#VALUE!</v>
      </c>
      <c r="AA54" s="123" t="s">
        <v>146</v>
      </c>
      <c r="AB54" s="252">
        <v>0.15</v>
      </c>
      <c r="AC54" s="33">
        <f t="shared" si="13"/>
        <v>0.15</v>
      </c>
      <c r="AD54" s="168"/>
      <c r="AE54" s="168"/>
      <c r="AF54" s="168"/>
      <c r="AG54" s="168"/>
      <c r="AH54" s="168">
        <v>0.15</v>
      </c>
      <c r="AI54" s="70" t="s">
        <v>154</v>
      </c>
      <c r="AJ54" s="270"/>
      <c r="AK54" s="168"/>
      <c r="AL54" s="173" t="s">
        <v>243</v>
      </c>
    </row>
    <row r="55" spans="1:39" ht="300" hidden="1" x14ac:dyDescent="0.25">
      <c r="A55" s="197" t="s">
        <v>112</v>
      </c>
      <c r="B55" s="46" t="s">
        <v>99</v>
      </c>
      <c r="C55" s="59" t="s">
        <v>131</v>
      </c>
      <c r="D55" s="46" t="s">
        <v>212</v>
      </c>
      <c r="E55" s="217" t="s">
        <v>52</v>
      </c>
      <c r="F55" s="46" t="s">
        <v>191</v>
      </c>
      <c r="G55" s="46" t="s">
        <v>177</v>
      </c>
      <c r="H55" s="46" t="s">
        <v>190</v>
      </c>
      <c r="I55" s="59" t="s">
        <v>204</v>
      </c>
      <c r="J55" s="29">
        <v>150000</v>
      </c>
      <c r="K55" s="204">
        <v>168664</v>
      </c>
      <c r="L55" s="49">
        <v>36905</v>
      </c>
      <c r="M55" s="16">
        <v>6230</v>
      </c>
      <c r="N55" s="123">
        <f>+M55/L55</f>
        <v>0.16881181411732826</v>
      </c>
      <c r="O55" s="161">
        <v>73810</v>
      </c>
      <c r="P55" s="82">
        <v>73810</v>
      </c>
      <c r="Q55" s="29">
        <f>+R55-M55</f>
        <v>3788</v>
      </c>
      <c r="R55" s="64">
        <v>10018</v>
      </c>
      <c r="S55" s="30">
        <f t="shared" si="11"/>
        <v>5.1320959219617941E-2</v>
      </c>
      <c r="T55" s="123">
        <f t="shared" si="2"/>
        <v>0.13572686627828207</v>
      </c>
      <c r="U55" s="56">
        <v>110715</v>
      </c>
      <c r="V55" s="36">
        <v>110715</v>
      </c>
      <c r="W55" s="102" t="s">
        <v>278</v>
      </c>
      <c r="X55" s="316" t="s">
        <v>278</v>
      </c>
      <c r="Y55" s="30" t="e">
        <f t="shared" si="9"/>
        <v>#VALUE!</v>
      </c>
      <c r="Z55" s="30" t="e">
        <f t="shared" si="12"/>
        <v>#VALUE!</v>
      </c>
      <c r="AA55" s="123" t="s">
        <v>146</v>
      </c>
      <c r="AB55" s="255">
        <v>150000</v>
      </c>
      <c r="AC55" s="35">
        <f t="shared" si="13"/>
        <v>150000</v>
      </c>
      <c r="AD55" s="165"/>
      <c r="AE55" s="165"/>
      <c r="AF55" s="165"/>
      <c r="AG55" s="165"/>
      <c r="AH55" s="165" t="e">
        <f t="shared" ref="AH55:AH61" si="14">+AC55-X55</f>
        <v>#VALUE!</v>
      </c>
      <c r="AI55" s="70" t="s">
        <v>113</v>
      </c>
      <c r="AJ55" s="270" t="s">
        <v>86</v>
      </c>
      <c r="AK55" s="165"/>
      <c r="AL55" s="173" t="s">
        <v>244</v>
      </c>
    </row>
    <row r="56" spans="1:39" ht="90" hidden="1" x14ac:dyDescent="0.25">
      <c r="A56" s="197" t="s">
        <v>112</v>
      </c>
      <c r="B56" s="46" t="s">
        <v>99</v>
      </c>
      <c r="C56" s="59" t="s">
        <v>131</v>
      </c>
      <c r="D56" s="46" t="s">
        <v>211</v>
      </c>
      <c r="E56" s="2" t="s">
        <v>53</v>
      </c>
      <c r="F56" s="46" t="s">
        <v>185</v>
      </c>
      <c r="G56" s="46" t="s">
        <v>177</v>
      </c>
      <c r="H56" s="46" t="s">
        <v>187</v>
      </c>
      <c r="I56" s="59" t="s">
        <v>186</v>
      </c>
      <c r="J56" s="32">
        <v>0.15</v>
      </c>
      <c r="K56" s="168">
        <v>0.19400000000000001</v>
      </c>
      <c r="L56" s="47">
        <v>0.183</v>
      </c>
      <c r="M56" s="32">
        <v>0.183</v>
      </c>
      <c r="N56" s="123">
        <f>(K56-M56)/(K56-L56)</f>
        <v>1</v>
      </c>
      <c r="O56" s="181">
        <v>0.17199999999999999</v>
      </c>
      <c r="P56" s="48">
        <v>0.17199999999999999</v>
      </c>
      <c r="Q56" s="32">
        <v>0.17100000000000001</v>
      </c>
      <c r="R56" s="32">
        <v>0.17100000000000001</v>
      </c>
      <c r="S56" s="30">
        <f>+(K56-Q56)/(K56-O56)</f>
        <v>1.0454545454545443</v>
      </c>
      <c r="T56" s="123">
        <f>+(K56-R56)/(K56-J56)</f>
        <v>0.52272727272727237</v>
      </c>
      <c r="U56" s="125">
        <v>0.161</v>
      </c>
      <c r="V56" s="34">
        <v>0.161</v>
      </c>
      <c r="W56" s="90" t="s">
        <v>278</v>
      </c>
      <c r="X56" s="90" t="s">
        <v>278</v>
      </c>
      <c r="Y56" s="30" t="e">
        <f>+(K56-W56)/(K56-U56)</f>
        <v>#VALUE!</v>
      </c>
      <c r="Z56" s="30" t="e">
        <f>(K56-X56)/(K56-V56)</f>
        <v>#VALUE!</v>
      </c>
      <c r="AA56" s="123" t="s">
        <v>146</v>
      </c>
      <c r="AB56" s="259">
        <v>0.15</v>
      </c>
      <c r="AC56" s="33">
        <f t="shared" si="13"/>
        <v>0.15</v>
      </c>
      <c r="AD56" s="168"/>
      <c r="AE56" s="168"/>
      <c r="AF56" s="30">
        <f>(K56-AD56)/(K56-AB56)</f>
        <v>4.4090909090909083</v>
      </c>
      <c r="AG56" s="30">
        <f>+(K56-AE56)/(K56-AC56)</f>
        <v>4.4090909090909083</v>
      </c>
      <c r="AH56" s="168" t="e">
        <f t="shared" si="14"/>
        <v>#VALUE!</v>
      </c>
      <c r="AI56" s="70" t="s">
        <v>154</v>
      </c>
      <c r="AJ56" s="273"/>
      <c r="AK56" s="168"/>
      <c r="AL56" s="68"/>
    </row>
    <row r="57" spans="1:39" ht="165" hidden="1" x14ac:dyDescent="0.25">
      <c r="A57" s="197" t="s">
        <v>112</v>
      </c>
      <c r="B57" s="46" t="s">
        <v>99</v>
      </c>
      <c r="C57" s="59" t="s">
        <v>131</v>
      </c>
      <c r="D57" s="46" t="s">
        <v>211</v>
      </c>
      <c r="E57" s="2" t="s">
        <v>54</v>
      </c>
      <c r="F57" s="46" t="s">
        <v>185</v>
      </c>
      <c r="G57" s="46" t="s">
        <v>177</v>
      </c>
      <c r="H57" s="46" t="s">
        <v>184</v>
      </c>
      <c r="I57" s="59" t="s">
        <v>186</v>
      </c>
      <c r="J57" s="32">
        <v>0.56999999999999995</v>
      </c>
      <c r="K57" s="203">
        <v>0.47799999999999998</v>
      </c>
      <c r="L57" s="47">
        <v>0.48899999999999999</v>
      </c>
      <c r="M57" s="32">
        <v>0.49399999999999999</v>
      </c>
      <c r="N57" s="123">
        <f>+M57/L57</f>
        <v>1.0102249488752557</v>
      </c>
      <c r="O57" s="181">
        <v>0.51600000000000001</v>
      </c>
      <c r="P57" s="48">
        <v>0.51600000000000001</v>
      </c>
      <c r="Q57" s="32">
        <v>0.51500000000000001</v>
      </c>
      <c r="R57" s="32">
        <v>0.51500000000000001</v>
      </c>
      <c r="S57" s="30">
        <f t="shared" si="11"/>
        <v>0.99806201550387597</v>
      </c>
      <c r="T57" s="123">
        <f>+R57/$P57</f>
        <v>0.99806201550387597</v>
      </c>
      <c r="U57" s="125">
        <v>0.54300000000000004</v>
      </c>
      <c r="V57" s="34">
        <v>0.54300000000000004</v>
      </c>
      <c r="W57" s="90" t="s">
        <v>278</v>
      </c>
      <c r="X57" s="90" t="s">
        <v>278</v>
      </c>
      <c r="Y57" s="30" t="e">
        <f t="shared" si="9"/>
        <v>#VALUE!</v>
      </c>
      <c r="Z57" s="30" t="e">
        <f t="shared" si="12"/>
        <v>#VALUE!</v>
      </c>
      <c r="AA57" s="123" t="s">
        <v>146</v>
      </c>
      <c r="AB57" s="259">
        <v>0.56999999999999995</v>
      </c>
      <c r="AC57" s="33">
        <f t="shared" si="13"/>
        <v>0.56999999999999995</v>
      </c>
      <c r="AD57" s="168"/>
      <c r="AE57" s="168"/>
      <c r="AF57" s="168"/>
      <c r="AG57" s="168"/>
      <c r="AH57" s="168" t="e">
        <f t="shared" si="14"/>
        <v>#VALUE!</v>
      </c>
      <c r="AI57" s="70" t="s">
        <v>154</v>
      </c>
      <c r="AJ57" s="270"/>
      <c r="AK57" s="168"/>
      <c r="AL57" s="173" t="s">
        <v>245</v>
      </c>
    </row>
    <row r="58" spans="1:39" ht="113.25" hidden="1" customHeight="1" x14ac:dyDescent="0.25">
      <c r="A58" s="197" t="s">
        <v>112</v>
      </c>
      <c r="B58" s="46" t="s">
        <v>99</v>
      </c>
      <c r="C58" s="59" t="s">
        <v>131</v>
      </c>
      <c r="D58" s="46" t="s">
        <v>211</v>
      </c>
      <c r="E58" s="2" t="s">
        <v>55</v>
      </c>
      <c r="F58" s="46" t="s">
        <v>191</v>
      </c>
      <c r="G58" s="46" t="s">
        <v>177</v>
      </c>
      <c r="H58" s="46" t="s">
        <v>190</v>
      </c>
      <c r="I58" s="59" t="s">
        <v>204</v>
      </c>
      <c r="J58" s="29">
        <v>400000</v>
      </c>
      <c r="K58" s="204">
        <v>546631</v>
      </c>
      <c r="L58" s="49">
        <v>92888</v>
      </c>
      <c r="M58" s="16">
        <v>72898</v>
      </c>
      <c r="N58" s="123">
        <f>+M58/L58</f>
        <v>0.78479459133580221</v>
      </c>
      <c r="O58" s="161">
        <v>185776</v>
      </c>
      <c r="P58" s="82">
        <v>185776</v>
      </c>
      <c r="Q58" s="29">
        <f>+R58-M58</f>
        <v>100884</v>
      </c>
      <c r="R58" s="16">
        <v>173782</v>
      </c>
      <c r="S58" s="30">
        <f t="shared" si="11"/>
        <v>0.5430410817328396</v>
      </c>
      <c r="T58" s="123">
        <f t="shared" si="2"/>
        <v>0.93543837740074065</v>
      </c>
      <c r="U58" s="56">
        <v>278664</v>
      </c>
      <c r="V58" s="36">
        <v>278664</v>
      </c>
      <c r="W58" s="102" t="s">
        <v>278</v>
      </c>
      <c r="X58" s="321" t="s">
        <v>278</v>
      </c>
      <c r="Y58" s="30" t="e">
        <f t="shared" si="9"/>
        <v>#VALUE!</v>
      </c>
      <c r="Z58" s="30" t="e">
        <f t="shared" si="12"/>
        <v>#VALUE!</v>
      </c>
      <c r="AA58" s="123" t="s">
        <v>146</v>
      </c>
      <c r="AB58" s="255">
        <v>400000</v>
      </c>
      <c r="AC58" s="35">
        <f t="shared" si="13"/>
        <v>400000</v>
      </c>
      <c r="AD58" s="165"/>
      <c r="AE58" s="165"/>
      <c r="AF58" s="165"/>
      <c r="AG58" s="165"/>
      <c r="AH58" s="165" t="e">
        <f t="shared" si="14"/>
        <v>#VALUE!</v>
      </c>
      <c r="AI58" s="70" t="s">
        <v>154</v>
      </c>
      <c r="AJ58" s="270"/>
      <c r="AK58" s="165"/>
      <c r="AL58" s="173" t="s">
        <v>246</v>
      </c>
    </row>
    <row r="59" spans="1:39" ht="85.5" hidden="1" customHeight="1" x14ac:dyDescent="0.25">
      <c r="A59" s="197" t="s">
        <v>112</v>
      </c>
      <c r="B59" s="46" t="s">
        <v>99</v>
      </c>
      <c r="C59" s="59" t="s">
        <v>131</v>
      </c>
      <c r="D59" s="46" t="s">
        <v>212</v>
      </c>
      <c r="E59" s="217" t="s">
        <v>56</v>
      </c>
      <c r="F59" s="46" t="s">
        <v>185</v>
      </c>
      <c r="G59" s="46" t="s">
        <v>177</v>
      </c>
      <c r="H59" s="46" t="s">
        <v>184</v>
      </c>
      <c r="I59" s="59" t="s">
        <v>205</v>
      </c>
      <c r="J59" s="29">
        <v>33</v>
      </c>
      <c r="K59" s="200">
        <v>25</v>
      </c>
      <c r="L59" s="49">
        <v>27</v>
      </c>
      <c r="M59" s="16">
        <v>26</v>
      </c>
      <c r="N59" s="123">
        <f>+M59/L59</f>
        <v>0.96296296296296291</v>
      </c>
      <c r="O59" s="161">
        <v>29</v>
      </c>
      <c r="P59" s="82">
        <v>29</v>
      </c>
      <c r="Q59" s="29">
        <f>+R59-M59</f>
        <v>-1</v>
      </c>
      <c r="R59" s="11">
        <v>25</v>
      </c>
      <c r="S59" s="30">
        <f t="shared" si="11"/>
        <v>-3.4482758620689655E-2</v>
      </c>
      <c r="T59" s="123">
        <f>+R59/$P59</f>
        <v>0.86206896551724133</v>
      </c>
      <c r="U59" s="56">
        <v>31</v>
      </c>
      <c r="V59" s="36">
        <v>31</v>
      </c>
      <c r="W59" s="315" t="s">
        <v>278</v>
      </c>
      <c r="X59" s="102" t="s">
        <v>278</v>
      </c>
      <c r="Y59" s="30" t="e">
        <f t="shared" si="9"/>
        <v>#VALUE!</v>
      </c>
      <c r="Z59" s="30" t="e">
        <f t="shared" si="12"/>
        <v>#VALUE!</v>
      </c>
      <c r="AA59" s="123" t="s">
        <v>146</v>
      </c>
      <c r="AB59" s="262">
        <v>33</v>
      </c>
      <c r="AC59" s="35">
        <f t="shared" si="13"/>
        <v>33</v>
      </c>
      <c r="AD59" s="165"/>
      <c r="AE59" s="165"/>
      <c r="AF59" s="165"/>
      <c r="AG59" s="165"/>
      <c r="AH59" s="165" t="e">
        <f t="shared" si="14"/>
        <v>#VALUE!</v>
      </c>
      <c r="AI59" s="70" t="s">
        <v>113</v>
      </c>
      <c r="AJ59" s="270" t="s">
        <v>87</v>
      </c>
      <c r="AK59" s="165"/>
      <c r="AL59" s="173" t="s">
        <v>247</v>
      </c>
    </row>
    <row r="60" spans="1:39" ht="240" hidden="1" x14ac:dyDescent="0.25">
      <c r="A60" s="197" t="s">
        <v>112</v>
      </c>
      <c r="B60" s="46" t="s">
        <v>99</v>
      </c>
      <c r="C60" s="59" t="s">
        <v>131</v>
      </c>
      <c r="D60" s="46" t="s">
        <v>211</v>
      </c>
      <c r="E60" s="2" t="s">
        <v>57</v>
      </c>
      <c r="F60" s="46" t="s">
        <v>185</v>
      </c>
      <c r="G60" s="46" t="s">
        <v>177</v>
      </c>
      <c r="H60" s="46" t="s">
        <v>187</v>
      </c>
      <c r="I60" s="59" t="s">
        <v>186</v>
      </c>
      <c r="J60" s="32">
        <v>0.08</v>
      </c>
      <c r="K60" s="203">
        <v>0.10100000000000001</v>
      </c>
      <c r="L60" s="47">
        <v>9.7000000000000003E-2</v>
      </c>
      <c r="M60" s="32">
        <v>9.2999999999999999E-2</v>
      </c>
      <c r="N60" s="123">
        <f>(K60-M60)/(K60-L60)</f>
        <v>2</v>
      </c>
      <c r="O60" s="181">
        <v>9.0999999999999998E-2</v>
      </c>
      <c r="P60" s="48">
        <v>9.0999999999999998E-2</v>
      </c>
      <c r="Q60" s="32">
        <v>9.2999999999999999E-2</v>
      </c>
      <c r="R60" s="32">
        <v>9.2999999999999999E-2</v>
      </c>
      <c r="S60" s="30">
        <f>+(K60-Q60)/(K60-O60)</f>
        <v>0.8</v>
      </c>
      <c r="T60" s="123">
        <f>+(K60-R60)/(K60-J60)</f>
        <v>0.38095238095238121</v>
      </c>
      <c r="U60" s="125">
        <v>8.5999999999999993E-2</v>
      </c>
      <c r="V60" s="34">
        <v>8.5999999999999993E-2</v>
      </c>
      <c r="W60" s="90" t="s">
        <v>278</v>
      </c>
      <c r="X60" s="90" t="s">
        <v>278</v>
      </c>
      <c r="Y60" s="30" t="e">
        <f>+(K60-W60)/(K60-U60)</f>
        <v>#VALUE!</v>
      </c>
      <c r="Z60" s="30" t="e">
        <f>(K60-X60)/(K60-V60)</f>
        <v>#VALUE!</v>
      </c>
      <c r="AA60" s="123" t="s">
        <v>146</v>
      </c>
      <c r="AB60" s="259">
        <v>0.08</v>
      </c>
      <c r="AC60" s="33">
        <f t="shared" si="13"/>
        <v>0.08</v>
      </c>
      <c r="AD60" s="168"/>
      <c r="AE60" s="168"/>
      <c r="AF60" s="30">
        <f>(K60-AD60)/(K60-AB60)</f>
        <v>4.8095238095238084</v>
      </c>
      <c r="AG60" s="30">
        <f>+(K60-AE60)/(K60-AC60)</f>
        <v>4.8095238095238084</v>
      </c>
      <c r="AH60" s="168" t="e">
        <f t="shared" si="14"/>
        <v>#VALUE!</v>
      </c>
      <c r="AI60" s="70" t="s">
        <v>154</v>
      </c>
      <c r="AJ60" s="270"/>
      <c r="AK60" s="168"/>
      <c r="AL60" s="173" t="s">
        <v>248</v>
      </c>
    </row>
    <row r="61" spans="1:39" ht="223.5" customHeight="1" x14ac:dyDescent="0.25">
      <c r="A61" s="197" t="s">
        <v>112</v>
      </c>
      <c r="B61" s="46" t="s">
        <v>99</v>
      </c>
      <c r="C61" s="59" t="s">
        <v>135</v>
      </c>
      <c r="D61" s="46" t="s">
        <v>212</v>
      </c>
      <c r="E61" s="217" t="s">
        <v>181</v>
      </c>
      <c r="F61" s="46" t="s">
        <v>175</v>
      </c>
      <c r="G61" s="46" t="s">
        <v>180</v>
      </c>
      <c r="H61" s="46" t="s">
        <v>188</v>
      </c>
      <c r="I61" s="59" t="s">
        <v>193</v>
      </c>
      <c r="J61" s="29">
        <v>125000</v>
      </c>
      <c r="K61" s="202">
        <v>23067</v>
      </c>
      <c r="L61" s="49">
        <v>18347</v>
      </c>
      <c r="M61" s="16">
        <v>20313</v>
      </c>
      <c r="N61" s="123">
        <f>+M61/L61</f>
        <v>1.1071564833487764</v>
      </c>
      <c r="O61" s="161">
        <v>34287</v>
      </c>
      <c r="P61" s="82">
        <f>+L61+O61</f>
        <v>52634</v>
      </c>
      <c r="Q61" s="29">
        <v>22252</v>
      </c>
      <c r="R61" s="16">
        <f>+M61+Q61</f>
        <v>42565</v>
      </c>
      <c r="S61" s="30">
        <f t="shared" si="11"/>
        <v>0.64899232945431218</v>
      </c>
      <c r="T61" s="123">
        <f t="shared" si="2"/>
        <v>0.80869779990120449</v>
      </c>
      <c r="U61" s="56">
        <v>36183</v>
      </c>
      <c r="V61" s="36">
        <f>+U61+P61</f>
        <v>88817</v>
      </c>
      <c r="W61" s="317">
        <v>23777</v>
      </c>
      <c r="X61" s="63">
        <f>+R61+W61</f>
        <v>66342</v>
      </c>
      <c r="Y61" s="30">
        <f t="shared" si="9"/>
        <v>0.6571318022275654</v>
      </c>
      <c r="Z61" s="30">
        <f t="shared" ref="Z61:Z69" si="15">+X61/$V61</f>
        <v>0.74695159710415804</v>
      </c>
      <c r="AA61" s="123" t="s">
        <v>115</v>
      </c>
      <c r="AB61" s="254">
        <v>36183</v>
      </c>
      <c r="AC61" s="35">
        <f>+V61+AB61</f>
        <v>125000</v>
      </c>
      <c r="AD61" s="165">
        <v>10112</v>
      </c>
      <c r="AE61" s="165">
        <f>+X61+AD61</f>
        <v>76454</v>
      </c>
      <c r="AF61" s="30">
        <f t="shared" ref="AF61" si="16">+AD61/AB61</f>
        <v>0.27946825857446866</v>
      </c>
      <c r="AG61" s="30">
        <f>+AE61/AC61</f>
        <v>0.61163199999999995</v>
      </c>
      <c r="AH61" s="165">
        <f t="shared" si="14"/>
        <v>58658</v>
      </c>
      <c r="AI61" s="70" t="s">
        <v>113</v>
      </c>
      <c r="AJ61" s="270" t="s">
        <v>164</v>
      </c>
      <c r="AK61" s="165"/>
      <c r="AL61" s="173" t="s">
        <v>249</v>
      </c>
      <c r="AM61" t="s">
        <v>276</v>
      </c>
    </row>
    <row r="62" spans="1:39" ht="195" hidden="1" x14ac:dyDescent="0.25">
      <c r="A62" s="248" t="s">
        <v>112</v>
      </c>
      <c r="B62" s="46" t="s">
        <v>99</v>
      </c>
      <c r="C62" s="59" t="s">
        <v>135</v>
      </c>
      <c r="D62" s="46" t="s">
        <v>211</v>
      </c>
      <c r="E62" s="2" t="s">
        <v>59</v>
      </c>
      <c r="F62" s="46" t="s">
        <v>191</v>
      </c>
      <c r="G62" s="46" t="s">
        <v>180</v>
      </c>
      <c r="H62" s="46" t="s">
        <v>190</v>
      </c>
      <c r="I62" s="59" t="s">
        <v>183</v>
      </c>
      <c r="J62" s="32">
        <v>0.6</v>
      </c>
      <c r="K62" s="168">
        <v>0.39</v>
      </c>
      <c r="L62" s="47">
        <v>0.45</v>
      </c>
      <c r="M62" s="32">
        <v>0.91600000000000004</v>
      </c>
      <c r="N62" s="249">
        <f>+M62/L62</f>
        <v>2.0355555555555558</v>
      </c>
      <c r="O62" s="181">
        <v>0.5</v>
      </c>
      <c r="P62" s="48">
        <v>0.5</v>
      </c>
      <c r="Q62" s="184">
        <v>0.43740000000000001</v>
      </c>
      <c r="R62" s="31">
        <v>0.4374377507754475</v>
      </c>
      <c r="S62" s="30">
        <f t="shared" si="11"/>
        <v>0.87480000000000002</v>
      </c>
      <c r="T62" s="123">
        <f t="shared" si="2"/>
        <v>0.874875501550895</v>
      </c>
      <c r="U62" s="125">
        <v>0.55000000000000004</v>
      </c>
      <c r="V62" s="34">
        <v>0.55000000000000004</v>
      </c>
      <c r="W62" s="319">
        <v>0.40200000000000002</v>
      </c>
      <c r="X62" s="52">
        <v>0.40200000000000002</v>
      </c>
      <c r="Y62" s="32">
        <f t="shared" si="9"/>
        <v>0.73090909090909084</v>
      </c>
      <c r="Z62" s="32">
        <f t="shared" si="15"/>
        <v>0.73090909090909084</v>
      </c>
      <c r="AA62" s="123" t="s">
        <v>115</v>
      </c>
      <c r="AB62" s="259">
        <v>0.6</v>
      </c>
      <c r="AC62" s="33">
        <f t="shared" ref="AC62:AC67" si="17">+J62</f>
        <v>0.6</v>
      </c>
      <c r="AD62" s="168"/>
      <c r="AE62" s="168"/>
      <c r="AF62" s="168"/>
      <c r="AG62" s="168"/>
      <c r="AH62" s="168">
        <v>0.6</v>
      </c>
      <c r="AI62" s="75"/>
      <c r="AJ62" s="270"/>
      <c r="AK62" s="168"/>
      <c r="AL62" s="68"/>
      <c r="AM62" t="s">
        <v>280</v>
      </c>
    </row>
    <row r="63" spans="1:39" ht="345" hidden="1" x14ac:dyDescent="0.25">
      <c r="A63" s="197" t="s">
        <v>112</v>
      </c>
      <c r="B63" s="46" t="s">
        <v>99</v>
      </c>
      <c r="C63" s="59" t="s">
        <v>131</v>
      </c>
      <c r="D63" s="46" t="s">
        <v>211</v>
      </c>
      <c r="E63" s="2" t="s">
        <v>60</v>
      </c>
      <c r="F63" s="46" t="s">
        <v>175</v>
      </c>
      <c r="G63" s="46" t="s">
        <v>177</v>
      </c>
      <c r="H63" s="46" t="s">
        <v>184</v>
      </c>
      <c r="I63" s="59" t="s">
        <v>198</v>
      </c>
      <c r="J63" s="29">
        <v>10000</v>
      </c>
      <c r="K63" s="204">
        <v>8893</v>
      </c>
      <c r="L63" s="49">
        <v>8180</v>
      </c>
      <c r="M63" s="16">
        <v>9477</v>
      </c>
      <c r="N63" s="123">
        <f t="shared" ref="N63:N67" si="18">+M63/L63</f>
        <v>1.158557457212714</v>
      </c>
      <c r="O63" s="161">
        <v>8790</v>
      </c>
      <c r="P63" s="82">
        <v>8790</v>
      </c>
      <c r="Q63" s="29">
        <v>10843</v>
      </c>
      <c r="R63" s="65">
        <v>10843</v>
      </c>
      <c r="S63" s="30">
        <f t="shared" si="11"/>
        <v>1.2335608646188851</v>
      </c>
      <c r="T63" s="123">
        <f t="shared" si="2"/>
        <v>1.2335608646188851</v>
      </c>
      <c r="U63" s="56">
        <v>9400</v>
      </c>
      <c r="V63" s="36">
        <v>9400</v>
      </c>
      <c r="W63" s="102" t="s">
        <v>278</v>
      </c>
      <c r="X63" s="102" t="s">
        <v>278</v>
      </c>
      <c r="Y63" s="30" t="e">
        <f t="shared" si="9"/>
        <v>#VALUE!</v>
      </c>
      <c r="Z63" s="30" t="e">
        <f t="shared" si="15"/>
        <v>#VALUE!</v>
      </c>
      <c r="AA63" s="123" t="s">
        <v>146</v>
      </c>
      <c r="AB63" s="263">
        <v>10000</v>
      </c>
      <c r="AC63" s="35">
        <f t="shared" si="17"/>
        <v>10000</v>
      </c>
      <c r="AD63" s="165"/>
      <c r="AE63" s="165"/>
      <c r="AF63" s="165"/>
      <c r="AG63" s="165"/>
      <c r="AH63" s="165" t="e">
        <f>+AC63-X63</f>
        <v>#VALUE!</v>
      </c>
      <c r="AI63" s="70" t="s">
        <v>154</v>
      </c>
      <c r="AJ63" s="270"/>
      <c r="AK63" s="165"/>
      <c r="AL63" s="173" t="s">
        <v>250</v>
      </c>
    </row>
    <row r="64" spans="1:39" ht="255" hidden="1" x14ac:dyDescent="0.25">
      <c r="A64" s="197" t="s">
        <v>112</v>
      </c>
      <c r="B64" s="46" t="s">
        <v>99</v>
      </c>
      <c r="C64" s="59" t="s">
        <v>131</v>
      </c>
      <c r="D64" s="46" t="s">
        <v>211</v>
      </c>
      <c r="E64" s="2" t="s">
        <v>61</v>
      </c>
      <c r="F64" s="46" t="s">
        <v>175</v>
      </c>
      <c r="G64" s="46" t="s">
        <v>177</v>
      </c>
      <c r="H64" s="46" t="s">
        <v>184</v>
      </c>
      <c r="I64" s="59" t="s">
        <v>206</v>
      </c>
      <c r="J64" s="29">
        <v>25</v>
      </c>
      <c r="K64" s="200">
        <v>0</v>
      </c>
      <c r="L64" s="49">
        <v>4</v>
      </c>
      <c r="M64" s="16">
        <v>12</v>
      </c>
      <c r="N64" s="123">
        <f t="shared" si="18"/>
        <v>3</v>
      </c>
      <c r="O64" s="161">
        <v>12</v>
      </c>
      <c r="P64" s="82">
        <v>12</v>
      </c>
      <c r="Q64" s="29">
        <v>24</v>
      </c>
      <c r="R64" s="11">
        <v>24</v>
      </c>
      <c r="S64" s="30">
        <f t="shared" si="11"/>
        <v>2</v>
      </c>
      <c r="T64" s="123">
        <f t="shared" si="2"/>
        <v>2</v>
      </c>
      <c r="U64" s="56">
        <v>20</v>
      </c>
      <c r="V64" s="36">
        <v>20</v>
      </c>
      <c r="W64" s="102" t="s">
        <v>278</v>
      </c>
      <c r="X64" s="102" t="s">
        <v>278</v>
      </c>
      <c r="Y64" s="30" t="e">
        <f t="shared" si="9"/>
        <v>#VALUE!</v>
      </c>
      <c r="Z64" s="30" t="e">
        <f t="shared" si="15"/>
        <v>#VALUE!</v>
      </c>
      <c r="AA64" s="123" t="s">
        <v>146</v>
      </c>
      <c r="AB64" s="264">
        <v>25</v>
      </c>
      <c r="AC64" s="35">
        <f t="shared" si="17"/>
        <v>25</v>
      </c>
      <c r="AD64" s="165"/>
      <c r="AE64" s="165"/>
      <c r="AF64" s="165"/>
      <c r="AG64" s="165"/>
      <c r="AH64" s="165" t="e">
        <f>+AC64-X64</f>
        <v>#VALUE!</v>
      </c>
      <c r="AI64" s="70" t="s">
        <v>154</v>
      </c>
      <c r="AJ64" s="270"/>
      <c r="AK64" s="165"/>
      <c r="AL64" s="173" t="s">
        <v>251</v>
      </c>
    </row>
    <row r="65" spans="1:38" ht="165" hidden="1" x14ac:dyDescent="0.25">
      <c r="A65" s="248" t="s">
        <v>112</v>
      </c>
      <c r="B65" s="46" t="s">
        <v>99</v>
      </c>
      <c r="C65" s="59" t="s">
        <v>131</v>
      </c>
      <c r="D65" s="46" t="s">
        <v>211</v>
      </c>
      <c r="E65" s="2" t="s">
        <v>62</v>
      </c>
      <c r="F65" s="46" t="s">
        <v>191</v>
      </c>
      <c r="G65" s="46" t="s">
        <v>177</v>
      </c>
      <c r="H65" s="46" t="s">
        <v>190</v>
      </c>
      <c r="I65" s="59" t="s">
        <v>207</v>
      </c>
      <c r="J65" s="29">
        <v>40000</v>
      </c>
      <c r="K65" s="202">
        <v>82723</v>
      </c>
      <c r="L65" s="49">
        <v>8000</v>
      </c>
      <c r="M65" s="16">
        <v>28058</v>
      </c>
      <c r="N65" s="249">
        <f t="shared" si="18"/>
        <v>3.50725</v>
      </c>
      <c r="O65" s="161">
        <v>17500</v>
      </c>
      <c r="P65" s="82">
        <v>17500</v>
      </c>
      <c r="Q65" s="29">
        <v>55022</v>
      </c>
      <c r="R65" s="27">
        <v>55022</v>
      </c>
      <c r="S65" s="30">
        <f t="shared" si="11"/>
        <v>3.1441142857142856</v>
      </c>
      <c r="T65" s="123">
        <f t="shared" si="2"/>
        <v>3.1441142857142856</v>
      </c>
      <c r="U65" s="56">
        <v>28500</v>
      </c>
      <c r="V65" s="36">
        <v>28500</v>
      </c>
      <c r="W65" s="81" t="s">
        <v>278</v>
      </c>
      <c r="X65" s="320" t="s">
        <v>278</v>
      </c>
      <c r="Y65" s="30" t="e">
        <f t="shared" si="9"/>
        <v>#VALUE!</v>
      </c>
      <c r="Z65" s="30" t="e">
        <f t="shared" si="15"/>
        <v>#VALUE!</v>
      </c>
      <c r="AA65" s="123" t="s">
        <v>146</v>
      </c>
      <c r="AB65" s="255">
        <v>40000</v>
      </c>
      <c r="AC65" s="35">
        <f t="shared" si="17"/>
        <v>40000</v>
      </c>
      <c r="AD65" s="165"/>
      <c r="AE65" s="165"/>
      <c r="AF65" s="165"/>
      <c r="AG65" s="165"/>
      <c r="AH65" s="165">
        <v>0</v>
      </c>
      <c r="AI65" s="70" t="s">
        <v>154</v>
      </c>
      <c r="AJ65" s="270"/>
      <c r="AK65" s="165"/>
      <c r="AL65" s="173" t="s">
        <v>252</v>
      </c>
    </row>
    <row r="66" spans="1:38" ht="135" hidden="1" customHeight="1" x14ac:dyDescent="0.25">
      <c r="A66" s="248" t="s">
        <v>112</v>
      </c>
      <c r="B66" s="46" t="s">
        <v>99</v>
      </c>
      <c r="C66" s="59" t="s">
        <v>131</v>
      </c>
      <c r="D66" s="46" t="s">
        <v>211</v>
      </c>
      <c r="E66" s="2" t="s">
        <v>63</v>
      </c>
      <c r="F66" s="46" t="s">
        <v>191</v>
      </c>
      <c r="G66" s="46" t="s">
        <v>177</v>
      </c>
      <c r="H66" s="46" t="s">
        <v>190</v>
      </c>
      <c r="I66" s="59" t="s">
        <v>204</v>
      </c>
      <c r="J66" s="185">
        <v>7000</v>
      </c>
      <c r="K66" s="202">
        <v>14623</v>
      </c>
      <c r="L66" s="49">
        <v>1000</v>
      </c>
      <c r="M66" s="16">
        <v>4633</v>
      </c>
      <c r="N66" s="123">
        <f t="shared" si="18"/>
        <v>4.633</v>
      </c>
      <c r="O66" s="161">
        <v>3000</v>
      </c>
      <c r="P66" s="82">
        <v>3000</v>
      </c>
      <c r="Q66" s="29">
        <v>5117</v>
      </c>
      <c r="R66" s="27">
        <v>5117</v>
      </c>
      <c r="S66" s="30">
        <f t="shared" si="11"/>
        <v>1.7056666666666667</v>
      </c>
      <c r="T66" s="123">
        <f t="shared" si="2"/>
        <v>1.7056666666666667</v>
      </c>
      <c r="U66" s="56">
        <v>5000</v>
      </c>
      <c r="V66" s="36">
        <v>5000</v>
      </c>
      <c r="W66" s="81" t="s">
        <v>278</v>
      </c>
      <c r="X66" s="320" t="s">
        <v>278</v>
      </c>
      <c r="Y66" s="30" t="e">
        <f t="shared" si="9"/>
        <v>#VALUE!</v>
      </c>
      <c r="Z66" s="30" t="e">
        <f t="shared" si="15"/>
        <v>#VALUE!</v>
      </c>
      <c r="AA66" s="123" t="s">
        <v>146</v>
      </c>
      <c r="AB66" s="255">
        <v>7000</v>
      </c>
      <c r="AC66" s="35">
        <f t="shared" si="17"/>
        <v>7000</v>
      </c>
      <c r="AD66" s="165"/>
      <c r="AE66" s="165"/>
      <c r="AF66" s="165"/>
      <c r="AG66" s="165"/>
      <c r="AH66" s="165" t="e">
        <f>+AC66-X66</f>
        <v>#VALUE!</v>
      </c>
      <c r="AI66" s="70" t="s">
        <v>154</v>
      </c>
      <c r="AJ66" s="270"/>
      <c r="AK66" s="165"/>
      <c r="AL66" s="173" t="s">
        <v>253</v>
      </c>
    </row>
    <row r="67" spans="1:38" ht="164.25" hidden="1" customHeight="1" x14ac:dyDescent="0.25">
      <c r="A67" s="197" t="s">
        <v>112</v>
      </c>
      <c r="B67" s="46" t="s">
        <v>99</v>
      </c>
      <c r="C67" s="59" t="s">
        <v>131</v>
      </c>
      <c r="D67" s="46" t="s">
        <v>211</v>
      </c>
      <c r="E67" s="2" t="s">
        <v>64</v>
      </c>
      <c r="F67" s="46" t="s">
        <v>185</v>
      </c>
      <c r="G67" s="46" t="s">
        <v>177</v>
      </c>
      <c r="H67" s="46" t="s">
        <v>184</v>
      </c>
      <c r="I67" s="59" t="s">
        <v>207</v>
      </c>
      <c r="J67" s="190">
        <v>2000</v>
      </c>
      <c r="K67" s="200">
        <v>2709</v>
      </c>
      <c r="L67" s="49">
        <v>3227</v>
      </c>
      <c r="M67" s="16">
        <v>3321</v>
      </c>
      <c r="N67" s="123">
        <f t="shared" si="18"/>
        <v>1.0291292221877906</v>
      </c>
      <c r="O67" s="161">
        <v>3486</v>
      </c>
      <c r="P67" s="82">
        <v>3486</v>
      </c>
      <c r="Q67" s="29">
        <f>+R67-M67</f>
        <v>4215</v>
      </c>
      <c r="R67" s="27">
        <v>7536</v>
      </c>
      <c r="S67" s="30">
        <f t="shared" si="11"/>
        <v>1.2091222030981068</v>
      </c>
      <c r="T67" s="123">
        <f t="shared" si="2"/>
        <v>2.1617900172117039</v>
      </c>
      <c r="U67" s="56">
        <v>3745</v>
      </c>
      <c r="V67" s="36">
        <v>3745</v>
      </c>
      <c r="W67" s="81" t="s">
        <v>278</v>
      </c>
      <c r="X67" s="320" t="s">
        <v>278</v>
      </c>
      <c r="Y67" s="30" t="e">
        <f t="shared" si="9"/>
        <v>#VALUE!</v>
      </c>
      <c r="Z67" s="30" t="e">
        <f t="shared" si="15"/>
        <v>#VALUE!</v>
      </c>
      <c r="AA67" s="123" t="s">
        <v>146</v>
      </c>
      <c r="AB67" s="265">
        <v>4004</v>
      </c>
      <c r="AC67" s="35">
        <f t="shared" si="17"/>
        <v>2000</v>
      </c>
      <c r="AD67" s="165"/>
      <c r="AE67" s="165"/>
      <c r="AF67" s="165"/>
      <c r="AG67" s="165"/>
      <c r="AH67" s="165">
        <v>0</v>
      </c>
      <c r="AI67" s="70" t="s">
        <v>154</v>
      </c>
      <c r="AJ67" s="270"/>
      <c r="AK67" s="165"/>
      <c r="AL67" s="173" t="s">
        <v>254</v>
      </c>
    </row>
    <row r="68" spans="1:38" ht="90" hidden="1" x14ac:dyDescent="0.25">
      <c r="A68" s="197" t="s">
        <v>112</v>
      </c>
      <c r="B68" s="46" t="s">
        <v>99</v>
      </c>
      <c r="C68" s="59" t="s">
        <v>131</v>
      </c>
      <c r="D68" s="46" t="s">
        <v>212</v>
      </c>
      <c r="E68" s="217" t="s">
        <v>65</v>
      </c>
      <c r="F68" s="46" t="s">
        <v>175</v>
      </c>
      <c r="G68" s="46" t="s">
        <v>177</v>
      </c>
      <c r="H68" s="46" t="s">
        <v>188</v>
      </c>
      <c r="I68" s="59" t="s">
        <v>193</v>
      </c>
      <c r="J68" s="29">
        <v>40000</v>
      </c>
      <c r="K68" s="200">
        <v>0</v>
      </c>
      <c r="L68" s="49">
        <v>10000</v>
      </c>
      <c r="M68" s="16">
        <v>10141</v>
      </c>
      <c r="N68" s="123">
        <f>+M68/L68</f>
        <v>1.0141</v>
      </c>
      <c r="O68" s="161">
        <v>10000</v>
      </c>
      <c r="P68" s="82">
        <f>+L68+O68</f>
        <v>20000</v>
      </c>
      <c r="Q68" s="29">
        <v>12730</v>
      </c>
      <c r="R68" s="65">
        <f>+M68+Q68</f>
        <v>22871</v>
      </c>
      <c r="S68" s="30">
        <f t="shared" si="11"/>
        <v>1.2729999999999999</v>
      </c>
      <c r="T68" s="123">
        <f>+R68/$P68</f>
        <v>1.1435500000000001</v>
      </c>
      <c r="U68" s="56">
        <v>10000</v>
      </c>
      <c r="V68" s="36">
        <f>+P68+U68</f>
        <v>30000</v>
      </c>
      <c r="W68" s="304">
        <v>31977</v>
      </c>
      <c r="X68" s="63">
        <v>31977</v>
      </c>
      <c r="Y68" s="30">
        <f t="shared" si="9"/>
        <v>3.1977000000000002</v>
      </c>
      <c r="Z68" s="30">
        <f t="shared" si="15"/>
        <v>1.0659000000000001</v>
      </c>
      <c r="AA68" s="123" t="s">
        <v>115</v>
      </c>
      <c r="AB68" s="254">
        <v>10000</v>
      </c>
      <c r="AC68" s="35">
        <f>+V68+AB68</f>
        <v>40000</v>
      </c>
      <c r="AD68" s="165">
        <f>+AE68-X68</f>
        <v>7999</v>
      </c>
      <c r="AE68" s="165">
        <v>39976</v>
      </c>
      <c r="AF68" s="30">
        <f t="shared" ref="AF68" si="19">+AD68/AB68</f>
        <v>0.79990000000000006</v>
      </c>
      <c r="AG68" s="30">
        <f>+AE68/AC68</f>
        <v>0.99939999999999996</v>
      </c>
      <c r="AH68" s="165">
        <f>+AC68-AE68</f>
        <v>24</v>
      </c>
      <c r="AI68" s="76"/>
      <c r="AJ68" s="270"/>
      <c r="AK68" s="165"/>
      <c r="AL68" s="68"/>
    </row>
    <row r="69" spans="1:38" ht="165" hidden="1" x14ac:dyDescent="0.25">
      <c r="A69" s="197" t="s">
        <v>112</v>
      </c>
      <c r="B69" s="46" t="s">
        <v>99</v>
      </c>
      <c r="C69" s="59" t="s">
        <v>131</v>
      </c>
      <c r="D69" s="46" t="s">
        <v>212</v>
      </c>
      <c r="E69" s="217" t="s">
        <v>66</v>
      </c>
      <c r="F69" s="59" t="s">
        <v>185</v>
      </c>
      <c r="G69" s="46" t="s">
        <v>177</v>
      </c>
      <c r="H69" s="46" t="s">
        <v>182</v>
      </c>
      <c r="I69" s="59" t="s">
        <v>186</v>
      </c>
      <c r="J69" s="32">
        <v>0.05</v>
      </c>
      <c r="K69" s="168">
        <v>0</v>
      </c>
      <c r="L69" s="224">
        <v>0.05</v>
      </c>
      <c r="M69" s="32">
        <v>1.9E-2</v>
      </c>
      <c r="N69" s="123"/>
      <c r="O69" s="226">
        <v>0.05</v>
      </c>
      <c r="P69" s="228">
        <v>0.05</v>
      </c>
      <c r="Q69" s="32">
        <v>1.6999999999999999E-3</v>
      </c>
      <c r="R69" s="31">
        <v>1.6999999999999999E-3</v>
      </c>
      <c r="S69" s="30">
        <f>+Q69/O69</f>
        <v>3.3999999999999996E-2</v>
      </c>
      <c r="T69" s="123">
        <f>+R69/$P69</f>
        <v>3.3999999999999996E-2</v>
      </c>
      <c r="U69" s="151">
        <v>0.05</v>
      </c>
      <c r="V69" s="31">
        <v>0.05</v>
      </c>
      <c r="W69" s="305" t="s">
        <v>278</v>
      </c>
      <c r="X69" s="90" t="s">
        <v>278</v>
      </c>
      <c r="Y69" s="30" t="e">
        <f t="shared" ref="Y69:Y82" si="20">+W69/U69</f>
        <v>#VALUE!</v>
      </c>
      <c r="Z69" s="30" t="e">
        <f t="shared" si="15"/>
        <v>#VALUE!</v>
      </c>
      <c r="AA69" s="123" t="s">
        <v>146</v>
      </c>
      <c r="AB69" s="266">
        <v>0.05</v>
      </c>
      <c r="AC69" s="33">
        <f>+J69</f>
        <v>0.05</v>
      </c>
      <c r="AD69" s="168"/>
      <c r="AE69" s="168"/>
      <c r="AF69" s="168"/>
      <c r="AG69" s="168"/>
      <c r="AH69" s="168" t="e">
        <f t="shared" ref="AH69:AH74" si="21">+AC69-X69</f>
        <v>#VALUE!</v>
      </c>
      <c r="AI69" s="70" t="s">
        <v>154</v>
      </c>
      <c r="AJ69" s="270"/>
      <c r="AK69" s="168"/>
      <c r="AL69" s="173" t="s">
        <v>255</v>
      </c>
    </row>
    <row r="70" spans="1:38" ht="90" hidden="1" x14ac:dyDescent="0.25">
      <c r="A70" s="197" t="s">
        <v>112</v>
      </c>
      <c r="B70" s="46" t="s">
        <v>99</v>
      </c>
      <c r="C70" s="59" t="s">
        <v>131</v>
      </c>
      <c r="D70" s="46" t="s">
        <v>211</v>
      </c>
      <c r="E70" s="2" t="s">
        <v>67</v>
      </c>
      <c r="F70" s="46" t="s">
        <v>175</v>
      </c>
      <c r="G70" s="46" t="s">
        <v>177</v>
      </c>
      <c r="H70" s="46" t="s">
        <v>188</v>
      </c>
      <c r="I70" s="59" t="s">
        <v>204</v>
      </c>
      <c r="J70" s="29">
        <v>20</v>
      </c>
      <c r="K70" s="200">
        <v>0</v>
      </c>
      <c r="L70" s="49">
        <v>2</v>
      </c>
      <c r="M70" s="29">
        <v>0</v>
      </c>
      <c r="N70" s="123">
        <f>+M70/L70</f>
        <v>0</v>
      </c>
      <c r="O70" s="161">
        <v>4</v>
      </c>
      <c r="P70" s="82">
        <f>+L70+O70</f>
        <v>6</v>
      </c>
      <c r="Q70" s="29">
        <f>+R70-M70</f>
        <v>0</v>
      </c>
      <c r="R70" s="11">
        <v>0</v>
      </c>
      <c r="S70" s="30">
        <f t="shared" si="11"/>
        <v>0</v>
      </c>
      <c r="T70" s="123">
        <f t="shared" ref="T70:T82" si="22">+R70/$P70</f>
        <v>0</v>
      </c>
      <c r="U70" s="56">
        <v>6</v>
      </c>
      <c r="V70" s="36">
        <v>6</v>
      </c>
      <c r="W70" s="81" t="s">
        <v>278</v>
      </c>
      <c r="X70" s="309" t="s">
        <v>278</v>
      </c>
      <c r="Y70" s="30" t="e">
        <f t="shared" si="20"/>
        <v>#VALUE!</v>
      </c>
      <c r="Z70" s="30" t="e">
        <f t="shared" ref="Z70:Z82" si="23">+X70/$V70</f>
        <v>#VALUE!</v>
      </c>
      <c r="AA70" s="123" t="s">
        <v>146</v>
      </c>
      <c r="AB70" s="254">
        <v>8</v>
      </c>
      <c r="AC70" s="35">
        <f>+L70+O70+U70+AB70</f>
        <v>20</v>
      </c>
      <c r="AD70" s="165"/>
      <c r="AE70" s="165"/>
      <c r="AF70" s="165"/>
      <c r="AG70" s="165"/>
      <c r="AH70" s="165" t="e">
        <f t="shared" si="21"/>
        <v>#VALUE!</v>
      </c>
      <c r="AI70" s="70" t="s">
        <v>154</v>
      </c>
      <c r="AJ70" s="273" t="s">
        <v>84</v>
      </c>
      <c r="AK70" s="165"/>
      <c r="AL70" s="68"/>
    </row>
    <row r="71" spans="1:38" ht="375" hidden="1" x14ac:dyDescent="0.25">
      <c r="A71" s="196" t="s">
        <v>110</v>
      </c>
      <c r="B71" s="46" t="s">
        <v>101</v>
      </c>
      <c r="C71" s="59" t="s">
        <v>136</v>
      </c>
      <c r="D71" s="46" t="s">
        <v>211</v>
      </c>
      <c r="E71" s="2" t="s">
        <v>68</v>
      </c>
      <c r="F71" s="46" t="s">
        <v>191</v>
      </c>
      <c r="G71" s="46" t="s">
        <v>177</v>
      </c>
      <c r="H71" s="46" t="s">
        <v>184</v>
      </c>
      <c r="I71" s="59" t="s">
        <v>183</v>
      </c>
      <c r="J71" s="38">
        <v>1</v>
      </c>
      <c r="K71" s="168">
        <v>0</v>
      </c>
      <c r="L71" s="84">
        <v>0</v>
      </c>
      <c r="M71" s="108">
        <v>0</v>
      </c>
      <c r="N71" s="143" t="s">
        <v>261</v>
      </c>
      <c r="O71" s="158">
        <f>+P71-L71</f>
        <v>0.35</v>
      </c>
      <c r="P71" s="48">
        <v>0.35</v>
      </c>
      <c r="Q71" s="32">
        <f>+R71-M71</f>
        <v>0.54500000000000004</v>
      </c>
      <c r="R71" s="41">
        <v>0.54500000000000004</v>
      </c>
      <c r="S71" s="30">
        <f t="shared" si="11"/>
        <v>1.5571428571428574</v>
      </c>
      <c r="T71" s="123">
        <f t="shared" si="22"/>
        <v>1.5571428571428574</v>
      </c>
      <c r="U71" s="51">
        <v>0.7</v>
      </c>
      <c r="V71" s="48">
        <v>0.7</v>
      </c>
      <c r="W71" s="40">
        <v>0.6</v>
      </c>
      <c r="X71" s="40">
        <v>0.6</v>
      </c>
      <c r="Y71" s="30">
        <f t="shared" si="20"/>
        <v>0.85714285714285721</v>
      </c>
      <c r="Z71" s="30">
        <f t="shared" si="23"/>
        <v>0.85714285714285721</v>
      </c>
      <c r="AA71" s="123" t="s">
        <v>115</v>
      </c>
      <c r="AB71" s="252">
        <v>1</v>
      </c>
      <c r="AC71" s="150">
        <f>+J71</f>
        <v>1</v>
      </c>
      <c r="AD71" s="176"/>
      <c r="AE71" s="176"/>
      <c r="AF71" s="176"/>
      <c r="AG71" s="176"/>
      <c r="AH71" s="176">
        <f t="shared" si="21"/>
        <v>0.4</v>
      </c>
      <c r="AI71" s="70" t="s">
        <v>113</v>
      </c>
      <c r="AJ71" s="270" t="s">
        <v>121</v>
      </c>
      <c r="AK71" s="176"/>
      <c r="AL71" s="68"/>
    </row>
    <row r="72" spans="1:38" ht="375" hidden="1" x14ac:dyDescent="0.25">
      <c r="A72" s="196" t="s">
        <v>110</v>
      </c>
      <c r="B72" s="46" t="s">
        <v>101</v>
      </c>
      <c r="C72" s="59" t="s">
        <v>136</v>
      </c>
      <c r="D72" s="46" t="s">
        <v>211</v>
      </c>
      <c r="E72" s="2" t="s">
        <v>69</v>
      </c>
      <c r="F72" s="46" t="s">
        <v>191</v>
      </c>
      <c r="G72" s="46" t="s">
        <v>177</v>
      </c>
      <c r="H72" s="46" t="s">
        <v>184</v>
      </c>
      <c r="I72" s="59" t="s">
        <v>183</v>
      </c>
      <c r="J72" s="38">
        <v>1</v>
      </c>
      <c r="K72" s="205">
        <v>0</v>
      </c>
      <c r="L72" s="85">
        <v>0.05</v>
      </c>
      <c r="M72" s="41">
        <v>0.05</v>
      </c>
      <c r="N72" s="123">
        <f t="shared" ref="N72:N78" si="24">+M72/L72</f>
        <v>1</v>
      </c>
      <c r="O72" s="158">
        <v>0.3</v>
      </c>
      <c r="P72" s="48">
        <v>0.3</v>
      </c>
      <c r="Q72" s="32">
        <f>+R72-M72</f>
        <v>9.9999999999999992E-2</v>
      </c>
      <c r="R72" s="41">
        <v>0.15</v>
      </c>
      <c r="S72" s="30">
        <f t="shared" si="11"/>
        <v>0.33333333333333331</v>
      </c>
      <c r="T72" s="123">
        <f t="shared" si="22"/>
        <v>0.5</v>
      </c>
      <c r="U72" s="51">
        <v>0.5</v>
      </c>
      <c r="V72" s="48">
        <v>0.5</v>
      </c>
      <c r="W72" s="90">
        <v>0.2</v>
      </c>
      <c r="X72" s="90">
        <v>0.2</v>
      </c>
      <c r="Y72" s="30">
        <f t="shared" si="20"/>
        <v>0.4</v>
      </c>
      <c r="Z72" s="30">
        <f t="shared" si="23"/>
        <v>0.4</v>
      </c>
      <c r="AA72" s="123" t="s">
        <v>115</v>
      </c>
      <c r="AB72" s="252">
        <v>1</v>
      </c>
      <c r="AC72" s="150">
        <f>+J72</f>
        <v>1</v>
      </c>
      <c r="AD72" s="176"/>
      <c r="AE72" s="176"/>
      <c r="AF72" s="176"/>
      <c r="AG72" s="176"/>
      <c r="AH72" s="176">
        <f t="shared" si="21"/>
        <v>0.8</v>
      </c>
      <c r="AI72" s="70" t="s">
        <v>113</v>
      </c>
      <c r="AJ72" s="270" t="s">
        <v>121</v>
      </c>
      <c r="AK72" s="176"/>
      <c r="AL72" s="68"/>
    </row>
    <row r="73" spans="1:38" ht="120" hidden="1" x14ac:dyDescent="0.25">
      <c r="A73" s="197" t="s">
        <v>112</v>
      </c>
      <c r="B73" s="46" t="s">
        <v>99</v>
      </c>
      <c r="C73" s="59" t="s">
        <v>131</v>
      </c>
      <c r="D73" s="46" t="s">
        <v>211</v>
      </c>
      <c r="E73" s="2" t="s">
        <v>70</v>
      </c>
      <c r="F73" s="46" t="s">
        <v>175</v>
      </c>
      <c r="G73" s="46" t="s">
        <v>177</v>
      </c>
      <c r="H73" s="46" t="s">
        <v>188</v>
      </c>
      <c r="I73" s="59" t="s">
        <v>208</v>
      </c>
      <c r="J73" s="29">
        <v>8000</v>
      </c>
      <c r="K73" s="200">
        <v>1300</v>
      </c>
      <c r="L73" s="49">
        <v>1500</v>
      </c>
      <c r="M73" s="29">
        <v>0</v>
      </c>
      <c r="N73" s="123">
        <f t="shared" si="24"/>
        <v>0</v>
      </c>
      <c r="O73" s="161">
        <v>2000</v>
      </c>
      <c r="P73" s="144">
        <f>+L73+O73</f>
        <v>3500</v>
      </c>
      <c r="Q73" s="27">
        <v>1500</v>
      </c>
      <c r="R73" s="27">
        <f>+M73+Q73</f>
        <v>1500</v>
      </c>
      <c r="S73" s="30">
        <f t="shared" si="11"/>
        <v>0.75</v>
      </c>
      <c r="T73" s="123">
        <f t="shared" si="22"/>
        <v>0.42857142857142855</v>
      </c>
      <c r="U73" s="56">
        <v>2000</v>
      </c>
      <c r="V73" s="36">
        <v>2000</v>
      </c>
      <c r="W73" s="81" t="s">
        <v>278</v>
      </c>
      <c r="X73" s="309" t="s">
        <v>278</v>
      </c>
      <c r="Y73" s="30" t="e">
        <f t="shared" si="20"/>
        <v>#VALUE!</v>
      </c>
      <c r="Z73" s="30" t="e">
        <f t="shared" si="23"/>
        <v>#VALUE!</v>
      </c>
      <c r="AA73" s="123" t="s">
        <v>146</v>
      </c>
      <c r="AB73" s="254">
        <v>2500</v>
      </c>
      <c r="AC73" s="35">
        <f>+L73+O73+U73+AB73</f>
        <v>8000</v>
      </c>
      <c r="AD73" s="165"/>
      <c r="AE73" s="165"/>
      <c r="AF73" s="165"/>
      <c r="AG73" s="165"/>
      <c r="AH73" s="165" t="e">
        <f t="shared" si="21"/>
        <v>#VALUE!</v>
      </c>
      <c r="AI73" s="70" t="s">
        <v>154</v>
      </c>
      <c r="AJ73" s="270"/>
      <c r="AK73" s="165"/>
      <c r="AL73" s="173" t="s">
        <v>256</v>
      </c>
    </row>
    <row r="74" spans="1:38" s="142" customFormat="1" ht="123" hidden="1" customHeight="1" x14ac:dyDescent="0.25">
      <c r="A74" s="196" t="s">
        <v>110</v>
      </c>
      <c r="B74" s="46" t="s">
        <v>101</v>
      </c>
      <c r="C74" s="59" t="s">
        <v>137</v>
      </c>
      <c r="D74" s="46" t="s">
        <v>211</v>
      </c>
      <c r="E74" s="2" t="s">
        <v>71</v>
      </c>
      <c r="F74" s="46" t="s">
        <v>175</v>
      </c>
      <c r="G74" s="46" t="s">
        <v>177</v>
      </c>
      <c r="H74" s="46" t="s">
        <v>188</v>
      </c>
      <c r="I74" s="59" t="s">
        <v>195</v>
      </c>
      <c r="J74" s="191">
        <v>46000</v>
      </c>
      <c r="K74" s="200">
        <v>43429</v>
      </c>
      <c r="L74" s="213">
        <v>1000</v>
      </c>
      <c r="M74" s="43">
        <v>2458</v>
      </c>
      <c r="N74" s="123">
        <f>+M74/L74</f>
        <v>2.4580000000000002</v>
      </c>
      <c r="O74" s="223">
        <v>15000</v>
      </c>
      <c r="P74" s="331">
        <f>+L74+O74</f>
        <v>16000</v>
      </c>
      <c r="Q74" s="42">
        <f>+R74-M74</f>
        <v>967</v>
      </c>
      <c r="R74" s="43">
        <v>3425</v>
      </c>
      <c r="S74" s="145">
        <f t="shared" si="11"/>
        <v>6.4466666666666672E-2</v>
      </c>
      <c r="T74" s="143">
        <f t="shared" si="22"/>
        <v>0.21406249999999999</v>
      </c>
      <c r="U74" s="237">
        <v>15000</v>
      </c>
      <c r="V74" s="332">
        <f>+P74+U74</f>
        <v>31000</v>
      </c>
      <c r="W74" s="43">
        <v>1210</v>
      </c>
      <c r="X74" s="66">
        <f>+R74+W74</f>
        <v>4635</v>
      </c>
      <c r="Y74" s="145">
        <f t="shared" si="20"/>
        <v>8.0666666666666664E-2</v>
      </c>
      <c r="Z74" s="145">
        <f t="shared" si="23"/>
        <v>0.14951612903225805</v>
      </c>
      <c r="AA74" s="143" t="s">
        <v>115</v>
      </c>
      <c r="AB74" s="257">
        <v>15000</v>
      </c>
      <c r="AC74" s="333">
        <f>+L74+O74+U74+AB74</f>
        <v>46000</v>
      </c>
      <c r="AD74" s="165"/>
      <c r="AE74" s="165"/>
      <c r="AF74" s="165"/>
      <c r="AG74" s="165"/>
      <c r="AH74" s="172">
        <f t="shared" si="21"/>
        <v>41365</v>
      </c>
      <c r="AI74" s="70" t="s">
        <v>113</v>
      </c>
      <c r="AJ74" s="270" t="s">
        <v>96</v>
      </c>
      <c r="AK74" s="172"/>
      <c r="AL74" s="173" t="s">
        <v>257</v>
      </c>
    </row>
    <row r="75" spans="1:38" s="141" customFormat="1" ht="143.25" hidden="1" customHeight="1" x14ac:dyDescent="0.25">
      <c r="A75" s="196" t="s">
        <v>110</v>
      </c>
      <c r="B75" s="46" t="s">
        <v>101</v>
      </c>
      <c r="C75" s="59" t="s">
        <v>137</v>
      </c>
      <c r="D75" s="46" t="s">
        <v>211</v>
      </c>
      <c r="E75" s="4" t="s">
        <v>72</v>
      </c>
      <c r="F75" s="59" t="s">
        <v>179</v>
      </c>
      <c r="G75" s="46" t="s">
        <v>178</v>
      </c>
      <c r="H75" s="46" t="s">
        <v>182</v>
      </c>
      <c r="I75" s="59" t="s">
        <v>183</v>
      </c>
      <c r="J75" s="13">
        <v>0.85</v>
      </c>
      <c r="K75" s="206" t="s">
        <v>260</v>
      </c>
      <c r="L75" s="224">
        <v>1</v>
      </c>
      <c r="M75" s="86">
        <v>0</v>
      </c>
      <c r="N75" s="123">
        <f t="shared" si="24"/>
        <v>0</v>
      </c>
      <c r="O75" s="227">
        <v>1</v>
      </c>
      <c r="P75" s="228">
        <v>1</v>
      </c>
      <c r="Q75" s="13">
        <v>0.04</v>
      </c>
      <c r="R75" s="13">
        <v>0.04</v>
      </c>
      <c r="S75" s="30">
        <f>+Q75/O75</f>
        <v>0.04</v>
      </c>
      <c r="T75" s="123">
        <f t="shared" si="22"/>
        <v>0.04</v>
      </c>
      <c r="U75" s="151">
        <v>0.8</v>
      </c>
      <c r="V75" s="31">
        <v>0.8</v>
      </c>
      <c r="W75" s="44">
        <v>0.73399999999999999</v>
      </c>
      <c r="X75" s="44">
        <v>0.73399999999999999</v>
      </c>
      <c r="Y75" s="30">
        <f t="shared" si="20"/>
        <v>0.91749999999999998</v>
      </c>
      <c r="Z75" s="30">
        <f t="shared" si="23"/>
        <v>0.91749999999999998</v>
      </c>
      <c r="AA75" s="123" t="s">
        <v>115</v>
      </c>
      <c r="AB75" s="267">
        <v>0.85</v>
      </c>
      <c r="AC75" s="26">
        <f t="shared" ref="AC75:AC80" si="25">+J75</f>
        <v>0.85</v>
      </c>
      <c r="AD75" s="167"/>
      <c r="AE75" s="167"/>
      <c r="AF75" s="167"/>
      <c r="AG75" s="167"/>
      <c r="AH75" s="167">
        <v>0.85</v>
      </c>
      <c r="AI75" s="70"/>
      <c r="AJ75" s="270"/>
      <c r="AK75" s="167"/>
      <c r="AL75" s="153" t="s">
        <v>216</v>
      </c>
    </row>
    <row r="76" spans="1:38" s="141" customFormat="1" ht="101.25" hidden="1" customHeight="1" x14ac:dyDescent="0.25">
      <c r="A76" s="196" t="s">
        <v>110</v>
      </c>
      <c r="B76" s="46" t="s">
        <v>101</v>
      </c>
      <c r="C76" s="59" t="s">
        <v>137</v>
      </c>
      <c r="D76" s="46" t="s">
        <v>211</v>
      </c>
      <c r="E76" s="2" t="s">
        <v>73</v>
      </c>
      <c r="F76" s="59" t="s">
        <v>179</v>
      </c>
      <c r="G76" s="46" t="s">
        <v>178</v>
      </c>
      <c r="H76" s="46" t="s">
        <v>182</v>
      </c>
      <c r="I76" s="59" t="s">
        <v>183</v>
      </c>
      <c r="J76" s="38">
        <v>1</v>
      </c>
      <c r="K76" s="206" t="s">
        <v>260</v>
      </c>
      <c r="L76" s="225">
        <v>1</v>
      </c>
      <c r="M76" s="87">
        <v>0</v>
      </c>
      <c r="N76" s="123">
        <f t="shared" si="24"/>
        <v>0</v>
      </c>
      <c r="O76" s="227">
        <v>1</v>
      </c>
      <c r="P76" s="228">
        <v>1</v>
      </c>
      <c r="Q76" s="38">
        <v>7.0000000000000007E-2</v>
      </c>
      <c r="R76" s="38">
        <v>7.0000000000000007E-2</v>
      </c>
      <c r="S76" s="30">
        <f t="shared" si="11"/>
        <v>7.0000000000000007E-2</v>
      </c>
      <c r="T76" s="123">
        <f t="shared" si="22"/>
        <v>7.0000000000000007E-2</v>
      </c>
      <c r="U76" s="152">
        <v>1</v>
      </c>
      <c r="V76" s="40">
        <v>1</v>
      </c>
      <c r="W76" s="44">
        <v>0.04</v>
      </c>
      <c r="X76" s="44">
        <v>0.04</v>
      </c>
      <c r="Y76" s="30">
        <f t="shared" si="20"/>
        <v>0.04</v>
      </c>
      <c r="Z76" s="30">
        <f t="shared" si="23"/>
        <v>0.04</v>
      </c>
      <c r="AA76" s="123" t="s">
        <v>115</v>
      </c>
      <c r="AB76" s="267">
        <v>1</v>
      </c>
      <c r="AC76" s="150">
        <f t="shared" si="25"/>
        <v>1</v>
      </c>
      <c r="AD76" s="176"/>
      <c r="AE76" s="176"/>
      <c r="AF76" s="176"/>
      <c r="AG76" s="176"/>
      <c r="AH76" s="176">
        <v>1</v>
      </c>
      <c r="AI76" s="70" t="s">
        <v>113</v>
      </c>
      <c r="AJ76" s="270" t="s">
        <v>97</v>
      </c>
      <c r="AK76" s="176"/>
      <c r="AL76" s="68"/>
    </row>
    <row r="77" spans="1:38" ht="409.5" hidden="1" x14ac:dyDescent="0.25">
      <c r="A77" s="196" t="s">
        <v>110</v>
      </c>
      <c r="B77" s="46" t="s">
        <v>101</v>
      </c>
      <c r="C77" s="59" t="s">
        <v>137</v>
      </c>
      <c r="D77" s="46" t="s">
        <v>211</v>
      </c>
      <c r="E77" s="2" t="s">
        <v>74</v>
      </c>
      <c r="F77" s="59" t="s">
        <v>179</v>
      </c>
      <c r="G77" s="46" t="s">
        <v>180</v>
      </c>
      <c r="H77" s="46" t="s">
        <v>182</v>
      </c>
      <c r="I77" s="59" t="s">
        <v>183</v>
      </c>
      <c r="J77" s="38">
        <v>1</v>
      </c>
      <c r="K77" s="206" t="s">
        <v>260</v>
      </c>
      <c r="L77" s="225">
        <v>1</v>
      </c>
      <c r="M77" s="45">
        <v>0.23</v>
      </c>
      <c r="N77" s="123">
        <f t="shared" si="24"/>
        <v>0.23</v>
      </c>
      <c r="O77" s="227">
        <v>1</v>
      </c>
      <c r="P77" s="228">
        <v>1</v>
      </c>
      <c r="Q77" s="45">
        <v>0.24</v>
      </c>
      <c r="R77" s="45">
        <v>0.24</v>
      </c>
      <c r="S77" s="30">
        <f t="shared" si="11"/>
        <v>0.24</v>
      </c>
      <c r="T77" s="123">
        <f t="shared" si="22"/>
        <v>0.24</v>
      </c>
      <c r="U77" s="152">
        <v>1</v>
      </c>
      <c r="V77" s="40">
        <v>1</v>
      </c>
      <c r="W77" s="91" t="s">
        <v>278</v>
      </c>
      <c r="X77" s="91" t="s">
        <v>278</v>
      </c>
      <c r="Y77" s="30" t="e">
        <f t="shared" si="20"/>
        <v>#VALUE!</v>
      </c>
      <c r="Z77" s="30" t="e">
        <f t="shared" si="23"/>
        <v>#VALUE!</v>
      </c>
      <c r="AA77" s="123" t="s">
        <v>146</v>
      </c>
      <c r="AB77" s="267">
        <v>1</v>
      </c>
      <c r="AC77" s="150">
        <f t="shared" si="25"/>
        <v>1</v>
      </c>
      <c r="AD77" s="176"/>
      <c r="AE77" s="176"/>
      <c r="AF77" s="176"/>
      <c r="AG77" s="176"/>
      <c r="AH77" s="176" t="e">
        <f t="shared" ref="AH77:AH82" si="26">+AC77-X77</f>
        <v>#VALUE!</v>
      </c>
      <c r="AI77" s="70" t="s">
        <v>113</v>
      </c>
      <c r="AJ77" s="270" t="s">
        <v>98</v>
      </c>
      <c r="AK77" s="176"/>
      <c r="AL77" s="68"/>
    </row>
    <row r="78" spans="1:38" ht="240" hidden="1" customHeight="1" x14ac:dyDescent="0.25">
      <c r="A78" s="196" t="s">
        <v>111</v>
      </c>
      <c r="B78" s="46" t="s">
        <v>101</v>
      </c>
      <c r="C78" s="59" t="s">
        <v>138</v>
      </c>
      <c r="D78" s="46" t="s">
        <v>211</v>
      </c>
      <c r="E78" s="2" t="s">
        <v>75</v>
      </c>
      <c r="F78" s="46" t="s">
        <v>175</v>
      </c>
      <c r="G78" s="46" t="s">
        <v>178</v>
      </c>
      <c r="H78" s="46" t="s">
        <v>184</v>
      </c>
      <c r="I78" s="59" t="s">
        <v>209</v>
      </c>
      <c r="J78" s="27">
        <v>95</v>
      </c>
      <c r="K78" s="200">
        <v>94</v>
      </c>
      <c r="L78" s="214">
        <v>12</v>
      </c>
      <c r="M78" s="11">
        <v>12</v>
      </c>
      <c r="N78" s="123">
        <f t="shared" si="24"/>
        <v>1</v>
      </c>
      <c r="O78" s="160">
        <v>95</v>
      </c>
      <c r="P78" s="232">
        <v>95</v>
      </c>
      <c r="Q78" s="29">
        <f>+R78-M78</f>
        <v>76</v>
      </c>
      <c r="R78" s="11">
        <v>88</v>
      </c>
      <c r="S78" s="30">
        <f t="shared" si="11"/>
        <v>0.8</v>
      </c>
      <c r="T78" s="123">
        <f t="shared" si="22"/>
        <v>0.9263157894736842</v>
      </c>
      <c r="U78" s="56">
        <v>95</v>
      </c>
      <c r="V78" s="36">
        <v>95</v>
      </c>
      <c r="W78" s="329">
        <v>73</v>
      </c>
      <c r="X78" s="329">
        <v>73</v>
      </c>
      <c r="Y78" s="30">
        <f t="shared" si="20"/>
        <v>0.76842105263157889</v>
      </c>
      <c r="Z78" s="30">
        <f t="shared" si="23"/>
        <v>0.76842105263157889</v>
      </c>
      <c r="AA78" s="123" t="s">
        <v>115</v>
      </c>
      <c r="AB78" s="255">
        <v>95</v>
      </c>
      <c r="AC78" s="36">
        <f t="shared" si="25"/>
        <v>95</v>
      </c>
      <c r="AD78" s="162"/>
      <c r="AE78" s="162"/>
      <c r="AF78" s="162"/>
      <c r="AG78" s="162"/>
      <c r="AH78" s="162">
        <f t="shared" si="26"/>
        <v>22</v>
      </c>
      <c r="AI78" s="70" t="s">
        <v>113</v>
      </c>
      <c r="AJ78" s="270" t="s">
        <v>149</v>
      </c>
      <c r="AK78" s="162"/>
      <c r="AL78" s="173" t="s">
        <v>258</v>
      </c>
    </row>
    <row r="79" spans="1:38" ht="315" hidden="1" x14ac:dyDescent="0.25">
      <c r="A79" s="196" t="s">
        <v>111</v>
      </c>
      <c r="B79" s="46" t="s">
        <v>101</v>
      </c>
      <c r="C79" s="59" t="s">
        <v>138</v>
      </c>
      <c r="D79" s="46" t="s">
        <v>211</v>
      </c>
      <c r="E79" s="2" t="s">
        <v>76</v>
      </c>
      <c r="F79" s="46" t="s">
        <v>175</v>
      </c>
      <c r="G79" s="46" t="s">
        <v>178</v>
      </c>
      <c r="H79" s="46" t="s">
        <v>184</v>
      </c>
      <c r="I79" s="59" t="s">
        <v>183</v>
      </c>
      <c r="J79" s="23">
        <v>0.5</v>
      </c>
      <c r="K79" s="206" t="s">
        <v>260</v>
      </c>
      <c r="L79" s="212">
        <v>0</v>
      </c>
      <c r="M79" s="88">
        <v>0</v>
      </c>
      <c r="N79" s="123">
        <v>0</v>
      </c>
      <c r="O79" s="182">
        <f>+P79-L79</f>
        <v>0.2</v>
      </c>
      <c r="P79" s="228">
        <v>0.2</v>
      </c>
      <c r="Q79" s="15">
        <v>0.03</v>
      </c>
      <c r="R79" s="12">
        <v>0.03</v>
      </c>
      <c r="S79" s="30">
        <f t="shared" si="11"/>
        <v>0.15</v>
      </c>
      <c r="T79" s="123">
        <f t="shared" si="22"/>
        <v>0.15</v>
      </c>
      <c r="U79" s="125">
        <v>0.3</v>
      </c>
      <c r="V79" s="34">
        <v>0.3</v>
      </c>
      <c r="W79" s="325">
        <v>0.18</v>
      </c>
      <c r="X79" s="325">
        <v>0.18</v>
      </c>
      <c r="Y79" s="30">
        <f t="shared" si="20"/>
        <v>0.6</v>
      </c>
      <c r="Z79" s="30">
        <f t="shared" si="23"/>
        <v>0.6</v>
      </c>
      <c r="AA79" s="123" t="s">
        <v>115</v>
      </c>
      <c r="AB79" s="252">
        <v>0.5</v>
      </c>
      <c r="AC79" s="245">
        <f t="shared" si="25"/>
        <v>0.5</v>
      </c>
      <c r="AD79" s="177"/>
      <c r="AE79" s="177"/>
      <c r="AF79" s="177"/>
      <c r="AG79" s="177"/>
      <c r="AH79" s="177">
        <f t="shared" si="26"/>
        <v>0.32</v>
      </c>
      <c r="AI79" s="70" t="s">
        <v>113</v>
      </c>
      <c r="AJ79" s="270" t="s">
        <v>149</v>
      </c>
      <c r="AK79" s="177"/>
      <c r="AL79" s="68"/>
    </row>
    <row r="80" spans="1:38" ht="135" hidden="1" x14ac:dyDescent="0.25">
      <c r="A80" s="196" t="s">
        <v>111</v>
      </c>
      <c r="B80" s="46" t="s">
        <v>101</v>
      </c>
      <c r="C80" s="59" t="s">
        <v>138</v>
      </c>
      <c r="D80" s="46" t="s">
        <v>211</v>
      </c>
      <c r="E80" s="2" t="s">
        <v>77</v>
      </c>
      <c r="F80" s="46" t="s">
        <v>175</v>
      </c>
      <c r="G80" s="46" t="s">
        <v>180</v>
      </c>
      <c r="H80" s="46" t="s">
        <v>184</v>
      </c>
      <c r="I80" s="59" t="s">
        <v>210</v>
      </c>
      <c r="J80" s="27">
        <v>282</v>
      </c>
      <c r="K80" s="202" t="s">
        <v>260</v>
      </c>
      <c r="L80" s="49">
        <v>103</v>
      </c>
      <c r="M80" s="20">
        <v>121</v>
      </c>
      <c r="N80" s="123">
        <f>+M80/L80</f>
        <v>1.174757281553398</v>
      </c>
      <c r="O80" s="160">
        <v>163</v>
      </c>
      <c r="P80" s="232">
        <v>163</v>
      </c>
      <c r="Q80" s="29">
        <f>+R80-M80</f>
        <v>99</v>
      </c>
      <c r="R80" s="20">
        <v>220</v>
      </c>
      <c r="S80" s="30">
        <f t="shared" si="11"/>
        <v>0.6073619631901841</v>
      </c>
      <c r="T80" s="123">
        <f t="shared" si="22"/>
        <v>1.3496932515337423</v>
      </c>
      <c r="U80" s="56">
        <v>223</v>
      </c>
      <c r="V80" s="36">
        <v>223</v>
      </c>
      <c r="W80" s="102" t="s">
        <v>278</v>
      </c>
      <c r="X80" s="102" t="s">
        <v>278</v>
      </c>
      <c r="Y80" s="30" t="e">
        <f t="shared" si="20"/>
        <v>#VALUE!</v>
      </c>
      <c r="Z80" s="30" t="e">
        <f t="shared" si="23"/>
        <v>#VALUE!</v>
      </c>
      <c r="AA80" s="123" t="s">
        <v>146</v>
      </c>
      <c r="AB80" s="255">
        <v>282</v>
      </c>
      <c r="AC80" s="36">
        <f t="shared" si="25"/>
        <v>282</v>
      </c>
      <c r="AD80" s="162"/>
      <c r="AE80" s="162"/>
      <c r="AF80" s="162"/>
      <c r="AG80" s="162"/>
      <c r="AH80" s="162" t="e">
        <f t="shared" si="26"/>
        <v>#VALUE!</v>
      </c>
      <c r="AI80" s="70" t="s">
        <v>154</v>
      </c>
      <c r="AJ80" s="270"/>
      <c r="AK80" s="162"/>
      <c r="AL80" s="68"/>
    </row>
    <row r="81" spans="1:38" ht="409.5" hidden="1" x14ac:dyDescent="0.25">
      <c r="A81" s="196" t="s">
        <v>110</v>
      </c>
      <c r="B81" s="46" t="s">
        <v>101</v>
      </c>
      <c r="C81" s="59" t="s">
        <v>126</v>
      </c>
      <c r="D81" s="46" t="s">
        <v>211</v>
      </c>
      <c r="E81" s="2" t="s">
        <v>78</v>
      </c>
      <c r="F81" s="46" t="s">
        <v>175</v>
      </c>
      <c r="G81" s="46" t="s">
        <v>177</v>
      </c>
      <c r="H81" s="46" t="s">
        <v>188</v>
      </c>
      <c r="I81" s="59" t="s">
        <v>183</v>
      </c>
      <c r="J81" s="38">
        <v>1</v>
      </c>
      <c r="K81" s="206" t="s">
        <v>260</v>
      </c>
      <c r="L81" s="215">
        <v>0</v>
      </c>
      <c r="M81" s="88">
        <v>0</v>
      </c>
      <c r="N81" s="123" t="s">
        <v>261</v>
      </c>
      <c r="O81" s="182">
        <v>0.5</v>
      </c>
      <c r="P81" s="148">
        <v>0.5</v>
      </c>
      <c r="Q81" s="146">
        <v>0.5</v>
      </c>
      <c r="R81" s="146">
        <v>0.5</v>
      </c>
      <c r="S81" s="30">
        <f t="shared" si="11"/>
        <v>1</v>
      </c>
      <c r="T81" s="123">
        <f t="shared" si="22"/>
        <v>1</v>
      </c>
      <c r="U81" s="127">
        <v>0.5</v>
      </c>
      <c r="V81" s="147">
        <v>0.5</v>
      </c>
      <c r="W81" s="44">
        <v>0.9</v>
      </c>
      <c r="X81" s="44">
        <v>0.9</v>
      </c>
      <c r="Y81" s="30">
        <f t="shared" si="20"/>
        <v>1.8</v>
      </c>
      <c r="Z81" s="30">
        <f t="shared" si="23"/>
        <v>1.8</v>
      </c>
      <c r="AA81" s="123" t="s">
        <v>115</v>
      </c>
      <c r="AB81" s="256">
        <v>0</v>
      </c>
      <c r="AC81" s="240">
        <f>+L81+O81+U81+AB81</f>
        <v>1</v>
      </c>
      <c r="AD81" s="297"/>
      <c r="AE81" s="297"/>
      <c r="AF81" s="297"/>
      <c r="AG81" s="297"/>
      <c r="AH81" s="176">
        <f t="shared" si="26"/>
        <v>9.9999999999999978E-2</v>
      </c>
      <c r="AI81" s="70"/>
      <c r="AJ81" s="274" t="s">
        <v>98</v>
      </c>
      <c r="AK81" s="176"/>
      <c r="AL81" s="68"/>
    </row>
    <row r="82" spans="1:38" ht="90.75" hidden="1" thickBot="1" x14ac:dyDescent="0.3">
      <c r="A82" s="198" t="s">
        <v>111</v>
      </c>
      <c r="B82" s="113" t="s">
        <v>101</v>
      </c>
      <c r="C82" s="114" t="s">
        <v>126</v>
      </c>
      <c r="D82" s="113" t="s">
        <v>211</v>
      </c>
      <c r="E82" s="286" t="s">
        <v>79</v>
      </c>
      <c r="F82" s="113" t="s">
        <v>175</v>
      </c>
      <c r="G82" s="113" t="s">
        <v>180</v>
      </c>
      <c r="H82" s="113" t="s">
        <v>184</v>
      </c>
      <c r="I82" s="114" t="s">
        <v>183</v>
      </c>
      <c r="J82" s="116">
        <v>0.84</v>
      </c>
      <c r="K82" s="207">
        <v>0.72</v>
      </c>
      <c r="L82" s="92">
        <v>0.78</v>
      </c>
      <c r="M82" s="58">
        <v>0.77249999999999996</v>
      </c>
      <c r="N82" s="124">
        <f>+M82/L82</f>
        <v>0.99038461538461531</v>
      </c>
      <c r="O82" s="183">
        <v>0.79</v>
      </c>
      <c r="P82" s="234">
        <v>0.79</v>
      </c>
      <c r="Q82" s="119">
        <v>0.82909999999999995</v>
      </c>
      <c r="R82" s="120">
        <v>0.82909999999999995</v>
      </c>
      <c r="S82" s="117">
        <f t="shared" si="11"/>
        <v>1.0494936708860758</v>
      </c>
      <c r="T82" s="124">
        <f t="shared" si="22"/>
        <v>1.0494936708860758</v>
      </c>
      <c r="U82" s="128">
        <v>0.81</v>
      </c>
      <c r="V82" s="118">
        <v>0.81</v>
      </c>
      <c r="W82" s="121" t="s">
        <v>278</v>
      </c>
      <c r="X82" s="121" t="s">
        <v>278</v>
      </c>
      <c r="Y82" s="117" t="e">
        <f t="shared" si="20"/>
        <v>#VALUE!</v>
      </c>
      <c r="Z82" s="117" t="e">
        <f t="shared" si="23"/>
        <v>#VALUE!</v>
      </c>
      <c r="AA82" s="124" t="s">
        <v>146</v>
      </c>
      <c r="AB82" s="268">
        <v>0.84</v>
      </c>
      <c r="AC82" s="164">
        <f>+J82</f>
        <v>0.84</v>
      </c>
      <c r="AD82" s="178"/>
      <c r="AE82" s="178"/>
      <c r="AF82" s="178"/>
      <c r="AG82" s="178"/>
      <c r="AH82" s="178" t="e">
        <f t="shared" si="26"/>
        <v>#VALUE!</v>
      </c>
      <c r="AI82" s="77" t="s">
        <v>154</v>
      </c>
      <c r="AJ82" s="275"/>
      <c r="AK82" s="247"/>
      <c r="AL82" s="68"/>
    </row>
    <row r="83" spans="1:38" ht="139.5" customHeight="1" x14ac:dyDescent="0.25">
      <c r="K83" s="292"/>
      <c r="L83" s="156"/>
      <c r="M83" s="156"/>
      <c r="V83" s="293"/>
    </row>
    <row r="84" spans="1:38" x14ac:dyDescent="0.25">
      <c r="R84" s="154"/>
    </row>
    <row r="85" spans="1:38" x14ac:dyDescent="0.25">
      <c r="N85" s="156"/>
      <c r="R85" s="155"/>
      <c r="T85" s="154"/>
    </row>
    <row r="86" spans="1:38" x14ac:dyDescent="0.25">
      <c r="N86" s="155"/>
      <c r="R86" s="156"/>
    </row>
    <row r="87" spans="1:38" x14ac:dyDescent="0.25">
      <c r="N87" s="156"/>
      <c r="S87" s="290"/>
      <c r="AI87" s="155"/>
    </row>
  </sheetData>
  <autoFilter ref="A4:AL82" xr:uid="{00000000-0009-0000-0000-000005000000}">
    <filterColumn colId="4">
      <filters>
        <filter val="Estudiantes beneficiados con créditos condonables para programas profesionales de licenciatura en Instituciones Educativas Certificadas con alta calidad"/>
        <filter val="Estudiantes beneficiados con nuevos créditos condonables"/>
      </filters>
    </filterColumn>
  </autoFilter>
  <mergeCells count="3">
    <mergeCell ref="L3:N3"/>
    <mergeCell ref="O3:T3"/>
    <mergeCell ref="U3:AA3"/>
  </mergeCells>
  <conditionalFormatting sqref="R61">
    <cfRule type="cellIs" dxfId="72" priority="73" operator="lessThan">
      <formula>#REF!</formula>
    </cfRule>
  </conditionalFormatting>
  <conditionalFormatting sqref="M10 P14 P17:P18 P20:P21 P23 P25 P27:P30 P38 P42 P44 P46:P47 P74 P78 P80 O10:P10">
    <cfRule type="cellIs" dxfId="71" priority="104" operator="lessThan">
      <formula>#REF!</formula>
    </cfRule>
    <cfRule type="cellIs" dxfId="70" priority="147" operator="lessThan">
      <formula>#REF!</formula>
    </cfRule>
    <cfRule type="cellIs" dxfId="69" priority="148" operator="lessThan">
      <formula>#REF!</formula>
    </cfRule>
  </conditionalFormatting>
  <conditionalFormatting sqref="M21">
    <cfRule type="cellIs" dxfId="68" priority="146" operator="lessThan">
      <formula>#REF!</formula>
    </cfRule>
  </conditionalFormatting>
  <conditionalFormatting sqref="M23">
    <cfRule type="cellIs" dxfId="67" priority="103" operator="lessThan">
      <formula>#REF!</formula>
    </cfRule>
    <cfRule type="cellIs" dxfId="66" priority="145" operator="lessThan">
      <formula>#REF!</formula>
    </cfRule>
  </conditionalFormatting>
  <conditionalFormatting sqref="M28">
    <cfRule type="cellIs" dxfId="65" priority="144" operator="lessThan">
      <formula>#REF!</formula>
    </cfRule>
  </conditionalFormatting>
  <conditionalFormatting sqref="M30">
    <cfRule type="cellIs" dxfId="64" priority="143" operator="lessThan">
      <formula>#REF!</formula>
    </cfRule>
  </conditionalFormatting>
  <conditionalFormatting sqref="M43">
    <cfRule type="cellIs" dxfId="63" priority="137" operator="lessThan">
      <formula>#REF!</formula>
    </cfRule>
  </conditionalFormatting>
  <conditionalFormatting sqref="M32">
    <cfRule type="cellIs" dxfId="62" priority="142" operator="lessThan">
      <formula>#REF!</formula>
    </cfRule>
  </conditionalFormatting>
  <conditionalFormatting sqref="M48">
    <cfRule type="cellIs" dxfId="61" priority="133" operator="lessThan">
      <formula>#REF!</formula>
    </cfRule>
  </conditionalFormatting>
  <conditionalFormatting sqref="M49">
    <cfRule type="cellIs" dxfId="60" priority="132" operator="lessThan">
      <formula>#REF!</formula>
    </cfRule>
  </conditionalFormatting>
  <conditionalFormatting sqref="M36">
    <cfRule type="cellIs" dxfId="59" priority="141" operator="lessThan">
      <formula>#REF!</formula>
    </cfRule>
  </conditionalFormatting>
  <conditionalFormatting sqref="M37">
    <cfRule type="cellIs" dxfId="58" priority="140" operator="lessThan">
      <formula>#REF!</formula>
    </cfRule>
  </conditionalFormatting>
  <conditionalFormatting sqref="M38">
    <cfRule type="cellIs" dxfId="57" priority="139" operator="lessThan">
      <formula>#REF!</formula>
    </cfRule>
  </conditionalFormatting>
  <conditionalFormatting sqref="M53">
    <cfRule type="cellIs" dxfId="56" priority="129" operator="lessThan">
      <formula>#REF!</formula>
    </cfRule>
  </conditionalFormatting>
  <conditionalFormatting sqref="M54">
    <cfRule type="cellIs" dxfId="55" priority="128" operator="lessThan">
      <formula>#REF!</formula>
    </cfRule>
  </conditionalFormatting>
  <conditionalFormatting sqref="M55">
    <cfRule type="cellIs" dxfId="54" priority="127" operator="lessThan">
      <formula>#REF!</formula>
    </cfRule>
  </conditionalFormatting>
  <conditionalFormatting sqref="M42">
    <cfRule type="cellIs" dxfId="53" priority="138" operator="lessThan">
      <formula>#REF!</formula>
    </cfRule>
  </conditionalFormatting>
  <conditionalFormatting sqref="M44">
    <cfRule type="cellIs" dxfId="52" priority="136" operator="lessThan">
      <formula>#REF!</formula>
    </cfRule>
  </conditionalFormatting>
  <conditionalFormatting sqref="M59">
    <cfRule type="cellIs" dxfId="51" priority="123" operator="lessThan">
      <formula>#REF!</formula>
    </cfRule>
  </conditionalFormatting>
  <conditionalFormatting sqref="M46">
    <cfRule type="cellIs" dxfId="50" priority="135" operator="lessThan">
      <formula>#REF!</formula>
    </cfRule>
  </conditionalFormatting>
  <conditionalFormatting sqref="M47">
    <cfRule type="cellIs" dxfId="49" priority="134" operator="lessThan">
      <formula>#REF!</formula>
    </cfRule>
  </conditionalFormatting>
  <conditionalFormatting sqref="M50">
    <cfRule type="cellIs" dxfId="48" priority="131" operator="lessThan">
      <formula>#REF!</formula>
    </cfRule>
  </conditionalFormatting>
  <conditionalFormatting sqref="M57">
    <cfRule type="cellIs" dxfId="47" priority="125" operator="lessThan">
      <formula>#REF!</formula>
    </cfRule>
  </conditionalFormatting>
  <conditionalFormatting sqref="M56">
    <cfRule type="cellIs" dxfId="46" priority="102" operator="lessThan">
      <formula>#REF!</formula>
    </cfRule>
    <cfRule type="cellIs" dxfId="45" priority="126" operator="lessThan">
      <formula>#REF!</formula>
    </cfRule>
  </conditionalFormatting>
  <conditionalFormatting sqref="M58">
    <cfRule type="cellIs" dxfId="44" priority="124" operator="lessThan">
      <formula>#REF!</formula>
    </cfRule>
  </conditionalFormatting>
  <conditionalFormatting sqref="M60">
    <cfRule type="cellIs" dxfId="43" priority="122" operator="lessThan">
      <formula>#REF!</formula>
    </cfRule>
  </conditionalFormatting>
  <conditionalFormatting sqref="M61">
    <cfRule type="cellIs" dxfId="42" priority="121" operator="lessThan">
      <formula>#REF!</formula>
    </cfRule>
  </conditionalFormatting>
  <conditionalFormatting sqref="M62">
    <cfRule type="cellIs" dxfId="41" priority="120" operator="lessThan">
      <formula>#REF!</formula>
    </cfRule>
  </conditionalFormatting>
  <conditionalFormatting sqref="M63">
    <cfRule type="cellIs" dxfId="40" priority="119" operator="lessThan">
      <formula>#REF!</formula>
    </cfRule>
  </conditionalFormatting>
  <conditionalFormatting sqref="M64">
    <cfRule type="cellIs" dxfId="39" priority="118" operator="lessThan">
      <formula>#REF!</formula>
    </cfRule>
  </conditionalFormatting>
  <conditionalFormatting sqref="M65">
    <cfRule type="cellIs" dxfId="38" priority="117" operator="lessThan">
      <formula>#REF!</formula>
    </cfRule>
  </conditionalFormatting>
  <conditionalFormatting sqref="M66">
    <cfRule type="cellIs" dxfId="37" priority="116" operator="lessThan">
      <formula>#REF!</formula>
    </cfRule>
  </conditionalFormatting>
  <conditionalFormatting sqref="M67">
    <cfRule type="cellIs" dxfId="36" priority="115" operator="lessThan">
      <formula>#REF!</formula>
    </cfRule>
  </conditionalFormatting>
  <conditionalFormatting sqref="M68">
    <cfRule type="cellIs" dxfId="35" priority="114" operator="lessThan">
      <formula>#REF!</formula>
    </cfRule>
  </conditionalFormatting>
  <conditionalFormatting sqref="M69">
    <cfRule type="cellIs" dxfId="34" priority="113" operator="lessThan">
      <formula>#REF!</formula>
    </cfRule>
  </conditionalFormatting>
  <conditionalFormatting sqref="M74">
    <cfRule type="cellIs" dxfId="33" priority="109" operator="lessThan">
      <formula>#REF!</formula>
    </cfRule>
  </conditionalFormatting>
  <conditionalFormatting sqref="M75">
    <cfRule type="cellIs" dxfId="32" priority="107" operator="lessThan">
      <formula>#REF!</formula>
    </cfRule>
    <cfRule type="cellIs" dxfId="31" priority="108" operator="lessThan">
      <formula>#REF!</formula>
    </cfRule>
  </conditionalFormatting>
  <conditionalFormatting sqref="M76">
    <cfRule type="cellIs" dxfId="30" priority="106" operator="lessThan">
      <formula>#REF!</formula>
    </cfRule>
  </conditionalFormatting>
  <conditionalFormatting sqref="M81">
    <cfRule type="cellIs" dxfId="29" priority="105" operator="lessThan">
      <formula>#REF!</formula>
    </cfRule>
  </conditionalFormatting>
  <conditionalFormatting sqref="R56">
    <cfRule type="cellIs" dxfId="28" priority="101" operator="greaterThan">
      <formula>"S58"</formula>
    </cfRule>
  </conditionalFormatting>
  <conditionalFormatting sqref="R59">
    <cfRule type="cellIs" dxfId="27" priority="100" operator="lessThan">
      <formula>#REF!</formula>
    </cfRule>
  </conditionalFormatting>
  <conditionalFormatting sqref="R63">
    <cfRule type="cellIs" dxfId="26" priority="99" operator="lessThan">
      <formula>#REF!</formula>
    </cfRule>
  </conditionalFormatting>
  <conditionalFormatting sqref="R62">
    <cfRule type="cellIs" dxfId="25" priority="98" operator="lessThan">
      <formula>#REF!</formula>
    </cfRule>
  </conditionalFormatting>
  <conditionalFormatting sqref="R64">
    <cfRule type="cellIs" dxfId="24" priority="97" operator="greaterThan">
      <formula>#REF!</formula>
    </cfRule>
  </conditionalFormatting>
  <conditionalFormatting sqref="R65">
    <cfRule type="cellIs" dxfId="23" priority="96" operator="lessThan">
      <formula>#REF!</formula>
    </cfRule>
  </conditionalFormatting>
  <conditionalFormatting sqref="R66">
    <cfRule type="cellIs" dxfId="22" priority="95" operator="lessThan">
      <formula>#REF!</formula>
    </cfRule>
  </conditionalFormatting>
  <conditionalFormatting sqref="R67">
    <cfRule type="cellIs" dxfId="21" priority="94" operator="lessThan">
      <formula>#REF!</formula>
    </cfRule>
  </conditionalFormatting>
  <conditionalFormatting sqref="R68">
    <cfRule type="cellIs" dxfId="20" priority="93" operator="lessThan">
      <formula>#REF!</formula>
    </cfRule>
  </conditionalFormatting>
  <conditionalFormatting sqref="R69">
    <cfRule type="cellIs" dxfId="19" priority="92" operator="greaterThan">
      <formula>#REF!</formula>
    </cfRule>
  </conditionalFormatting>
  <conditionalFormatting sqref="R70">
    <cfRule type="cellIs" dxfId="18" priority="91" operator="lessThan">
      <formula>#REF!</formula>
    </cfRule>
  </conditionalFormatting>
  <conditionalFormatting sqref="Q73:R73">
    <cfRule type="cellIs" dxfId="17" priority="90" operator="lessThan">
      <formula>#REF!</formula>
    </cfRule>
  </conditionalFormatting>
  <conditionalFormatting sqref="M7 P7">
    <cfRule type="cellIs" dxfId="16" priority="88" operator="lessThan">
      <formula>#REF!</formula>
    </cfRule>
    <cfRule type="cellIs" dxfId="15" priority="89" operator="lessThan">
      <formula>#REF!</formula>
    </cfRule>
  </conditionalFormatting>
  <conditionalFormatting sqref="R74">
    <cfRule type="cellIs" dxfId="14" priority="85" operator="lessThan">
      <formula>#REF!</formula>
    </cfRule>
  </conditionalFormatting>
  <conditionalFormatting sqref="Q48:R48 Q49:Q70">
    <cfRule type="cellIs" dxfId="13" priority="84" operator="lessThan">
      <formula>#REF!</formula>
    </cfRule>
  </conditionalFormatting>
  <conditionalFormatting sqref="R49">
    <cfRule type="cellIs" dxfId="12" priority="83" operator="lessThan">
      <formula>#REF!</formula>
    </cfRule>
  </conditionalFormatting>
  <conditionalFormatting sqref="W49">
    <cfRule type="cellIs" dxfId="11" priority="82" operator="lessThan">
      <formula>#REF!</formula>
    </cfRule>
  </conditionalFormatting>
  <conditionalFormatting sqref="R50">
    <cfRule type="cellIs" dxfId="10" priority="81" operator="lessThan">
      <formula>#REF!</formula>
    </cfRule>
  </conditionalFormatting>
  <conditionalFormatting sqref="J52">
    <cfRule type="cellIs" dxfId="9" priority="79" operator="lessThan">
      <formula>#REF!</formula>
    </cfRule>
  </conditionalFormatting>
  <conditionalFormatting sqref="M52">
    <cfRule type="cellIs" dxfId="8" priority="78" operator="lessThan">
      <formula>#REF!</formula>
    </cfRule>
  </conditionalFormatting>
  <conditionalFormatting sqref="R54">
    <cfRule type="cellIs" dxfId="7" priority="77" operator="lessThan">
      <formula>#REF!</formula>
    </cfRule>
  </conditionalFormatting>
  <conditionalFormatting sqref="R57">
    <cfRule type="cellIs" dxfId="6" priority="76" operator="lessThan">
      <formula>#REF!</formula>
    </cfRule>
  </conditionalFormatting>
  <conditionalFormatting sqref="R58">
    <cfRule type="cellIs" dxfId="5" priority="75" operator="lessThan">
      <formula>#REF!</formula>
    </cfRule>
  </conditionalFormatting>
  <conditionalFormatting sqref="R60">
    <cfRule type="cellIs" dxfId="4" priority="74" operator="lessThan">
      <formula>#REF!</formula>
    </cfRule>
  </conditionalFormatting>
  <conditionalFormatting sqref="W74">
    <cfRule type="cellIs" dxfId="3" priority="72" operator="lessThan">
      <formula>#REF!</formula>
    </cfRule>
  </conditionalFormatting>
  <conditionalFormatting sqref="S5:T82">
    <cfRule type="iconSet" priority="17">
      <iconSet iconSet="3TrafficLights2">
        <cfvo type="percent" val="0"/>
        <cfvo type="num" val="0.98"/>
        <cfvo type="num" val="1"/>
      </iconSet>
    </cfRule>
  </conditionalFormatting>
  <conditionalFormatting sqref="Y5:AA7 Y61:AA82 Y9:AA12 Z8:AA8 Y14:AA28 Y30:AA37 Y39:AA55 Y57:AA59 Z13:AA13 Z29:AA29 Z38:AA38 Z56:AA56 Z60:AA60">
    <cfRule type="iconSet" priority="14">
      <iconSet iconSet="3TrafficLights2">
        <cfvo type="percent" val="0"/>
        <cfvo type="num" val="0.98"/>
        <cfvo type="num" val="1"/>
      </iconSet>
    </cfRule>
  </conditionalFormatting>
  <conditionalFormatting sqref="X49">
    <cfRule type="cellIs" dxfId="2" priority="13" operator="lessThan">
      <formula>#REF!</formula>
    </cfRule>
  </conditionalFormatting>
  <conditionalFormatting sqref="N5:N82">
    <cfRule type="iconSet" priority="149">
      <iconSet iconSet="3TrafficLights2">
        <cfvo type="percent" val="0"/>
        <cfvo type="num" val="0.98"/>
        <cfvo type="num" val="1"/>
      </iconSet>
    </cfRule>
  </conditionalFormatting>
  <conditionalFormatting sqref="AC52:AG52">
    <cfRule type="cellIs" dxfId="1" priority="12" operator="lessThan">
      <formula>#REF!</formula>
    </cfRule>
  </conditionalFormatting>
  <conditionalFormatting sqref="AH52:AK52">
    <cfRule type="cellIs" dxfId="0" priority="11" operator="lessThan">
      <formula>#REF!</formula>
    </cfRule>
  </conditionalFormatting>
  <conditionalFormatting sqref="AF47:AG47">
    <cfRule type="iconSet" priority="7">
      <iconSet iconSet="3TrafficLights2">
        <cfvo type="percent" val="0"/>
        <cfvo type="num" val="0.98"/>
        <cfvo type="num" val="1"/>
      </iconSet>
    </cfRule>
  </conditionalFormatting>
  <conditionalFormatting sqref="AF35:AG35 AF30:AG30">
    <cfRule type="iconSet" priority="6">
      <iconSet iconSet="3TrafficLights2">
        <cfvo type="percent" val="0"/>
        <cfvo type="num" val="0.98"/>
        <cfvo type="num" val="1"/>
      </iconSet>
    </cfRule>
  </conditionalFormatting>
  <conditionalFormatting sqref="AF61:AG61">
    <cfRule type="iconSet" priority="5">
      <iconSet iconSet="3TrafficLights2">
        <cfvo type="percent" val="0"/>
        <cfvo type="num" val="0.98"/>
        <cfvo type="num" val="1"/>
      </iconSet>
    </cfRule>
  </conditionalFormatting>
  <conditionalFormatting sqref="AF68:AG68">
    <cfRule type="iconSet" priority="4">
      <iconSet iconSet="3TrafficLights2">
        <cfvo type="percent" val="0"/>
        <cfvo type="num" val="0.98"/>
        <cfvo type="num" val="1"/>
      </iconSet>
    </cfRule>
  </conditionalFormatting>
  <conditionalFormatting sqref="Y8 Y13 Y29 Y38 Y56 Y60">
    <cfRule type="iconSet" priority="3">
      <iconSet iconSet="3TrafficLights2">
        <cfvo type="percent" val="0"/>
        <cfvo type="num" val="0.98"/>
        <cfvo type="num" val="1"/>
      </iconSet>
    </cfRule>
  </conditionalFormatting>
  <conditionalFormatting sqref="AF8 AF13 AF29 AF38 AF56 AF60">
    <cfRule type="iconSet" priority="2">
      <iconSet iconSet="3TrafficLights2">
        <cfvo type="percent" val="0"/>
        <cfvo type="num" val="0.98"/>
        <cfvo type="num" val="1"/>
      </iconSet>
    </cfRule>
  </conditionalFormatting>
  <conditionalFormatting sqref="AG8 AG13 AG29 AG38 AG56 AG60">
    <cfRule type="iconSet" priority="1">
      <iconSet iconSet="3TrafficLights2">
        <cfvo type="percent" val="0"/>
        <cfvo type="num" val="0.98"/>
        <cfvo type="num" val="1"/>
      </iconSet>
    </cfRule>
  </conditionalFormatting>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O109"/>
  <sheetViews>
    <sheetView tabSelected="1" view="pageBreakPreview" zoomScaleNormal="100" zoomScaleSheetLayoutView="100" workbookViewId="0">
      <selection activeCell="I19" sqref="I19"/>
    </sheetView>
  </sheetViews>
  <sheetFormatPr baseColWidth="10" defaultRowHeight="24" customHeight="1" x14ac:dyDescent="0.25"/>
  <cols>
    <col min="1" max="1" width="3" style="483" customWidth="1"/>
    <col min="2" max="2" width="4.28515625" style="376" customWidth="1"/>
    <col min="3" max="3" width="16.140625" style="376" customWidth="1"/>
    <col min="4" max="4" width="16.5703125" style="376" customWidth="1"/>
    <col min="5" max="5" width="50.7109375" style="475" customWidth="1"/>
    <col min="6" max="6" width="11.42578125" style="475" customWidth="1"/>
    <col min="7" max="7" width="11.85546875" style="476" customWidth="1"/>
    <col min="8" max="8" width="13.7109375" style="476" customWidth="1"/>
    <col min="9" max="9" width="10.7109375" style="476" customWidth="1"/>
    <col min="10" max="10" width="14.85546875" style="476" customWidth="1"/>
    <col min="11" max="11" width="14.7109375" style="483" customWidth="1"/>
    <col min="12" max="12" width="18.7109375" style="477" customWidth="1"/>
    <col min="13" max="13" width="34.42578125" style="376" customWidth="1"/>
    <col min="14" max="14" width="15.7109375" style="377" hidden="1" customWidth="1"/>
    <col min="15" max="15" width="13.5703125" style="377" customWidth="1"/>
    <col min="16" max="16384" width="11.42578125" style="376"/>
  </cols>
  <sheetData>
    <row r="1" spans="2:15" ht="15" x14ac:dyDescent="0.25"/>
    <row r="2" spans="2:15" ht="15" x14ac:dyDescent="0.25">
      <c r="G2" s="376"/>
    </row>
    <row r="3" spans="2:15" ht="15" x14ac:dyDescent="0.25">
      <c r="G3" s="376"/>
    </row>
    <row r="4" spans="2:15" ht="23.25" x14ac:dyDescent="0.35">
      <c r="C4" s="809" t="s">
        <v>330</v>
      </c>
      <c r="D4" s="809"/>
      <c r="E4" s="809"/>
      <c r="F4" s="809"/>
      <c r="G4" s="809"/>
      <c r="H4" s="809"/>
      <c r="I4" s="809"/>
      <c r="J4" s="809"/>
      <c r="K4" s="809"/>
      <c r="L4" s="809"/>
      <c r="M4" s="809"/>
      <c r="N4" s="809"/>
      <c r="O4" s="809"/>
    </row>
    <row r="5" spans="2:15" ht="23.25" x14ac:dyDescent="0.35">
      <c r="C5" s="484"/>
      <c r="D5" s="484"/>
      <c r="E5" s="484"/>
      <c r="F5" s="484"/>
      <c r="G5" s="484"/>
      <c r="H5" s="484"/>
      <c r="I5" s="484"/>
      <c r="J5" s="785"/>
      <c r="K5" s="484"/>
      <c r="L5" s="484"/>
      <c r="M5" s="484"/>
    </row>
    <row r="6" spans="2:15" ht="21" x14ac:dyDescent="0.25">
      <c r="C6" s="810" t="s">
        <v>323</v>
      </c>
      <c r="D6" s="810"/>
      <c r="E6" s="810"/>
      <c r="F6" s="810"/>
      <c r="G6" s="810"/>
      <c r="H6" s="810"/>
      <c r="I6" s="810"/>
      <c r="J6" s="810"/>
      <c r="K6" s="810"/>
      <c r="L6" s="810"/>
      <c r="M6" s="810"/>
      <c r="N6" s="810"/>
      <c r="O6" s="810"/>
    </row>
    <row r="7" spans="2:15" ht="15" x14ac:dyDescent="0.25">
      <c r="G7" s="376"/>
    </row>
    <row r="8" spans="2:15" ht="21.75" thickBot="1" x14ac:dyDescent="0.3">
      <c r="B8" s="810" t="s">
        <v>352</v>
      </c>
      <c r="C8" s="810"/>
      <c r="D8" s="810"/>
      <c r="E8" s="810"/>
      <c r="F8" s="810"/>
      <c r="G8" s="810"/>
      <c r="H8" s="810"/>
      <c r="I8" s="810"/>
      <c r="J8" s="810"/>
      <c r="K8" s="810"/>
      <c r="L8" s="810"/>
      <c r="M8" s="810"/>
      <c r="N8" s="810"/>
      <c r="O8" s="810"/>
    </row>
    <row r="9" spans="2:15" ht="16.5" thickBot="1" x14ac:dyDescent="0.3">
      <c r="E9" s="376"/>
      <c r="F9" s="376"/>
      <c r="G9" s="376"/>
      <c r="L9" s="498" t="s">
        <v>334</v>
      </c>
      <c r="M9" s="490" t="s">
        <v>335</v>
      </c>
      <c r="N9" s="499" t="s">
        <v>336</v>
      </c>
    </row>
    <row r="10" spans="2:15" ht="30" x14ac:dyDescent="0.25">
      <c r="E10" s="376"/>
      <c r="F10" s="376"/>
      <c r="G10" s="376"/>
      <c r="L10" s="500" t="s">
        <v>337</v>
      </c>
      <c r="M10" s="501">
        <v>1</v>
      </c>
      <c r="N10" s="502" t="s">
        <v>338</v>
      </c>
    </row>
    <row r="11" spans="2:15" ht="15.75" x14ac:dyDescent="0.25">
      <c r="E11" s="376"/>
      <c r="F11" s="376"/>
      <c r="G11" s="376"/>
      <c r="L11" s="503" t="s">
        <v>339</v>
      </c>
      <c r="M11" s="504">
        <v>0.89</v>
      </c>
      <c r="N11" s="505" t="s">
        <v>340</v>
      </c>
    </row>
    <row r="12" spans="2:15" ht="15.75" x14ac:dyDescent="0.25">
      <c r="E12" s="376"/>
      <c r="F12" s="376"/>
      <c r="G12" s="376"/>
      <c r="L12" s="503" t="s">
        <v>341</v>
      </c>
      <c r="M12" s="504">
        <v>0.79</v>
      </c>
      <c r="N12" s="505" t="s">
        <v>342</v>
      </c>
    </row>
    <row r="13" spans="2:15" ht="30.75" thickBot="1" x14ac:dyDescent="0.3">
      <c r="E13" s="376"/>
      <c r="F13" s="376"/>
      <c r="G13" s="376"/>
      <c r="L13" s="506" t="s">
        <v>343</v>
      </c>
      <c r="M13" s="507">
        <v>0.69</v>
      </c>
      <c r="N13" s="508" t="s">
        <v>344</v>
      </c>
    </row>
    <row r="14" spans="2:15" ht="32.25" thickBot="1" x14ac:dyDescent="0.3">
      <c r="C14" s="486" t="s">
        <v>331</v>
      </c>
      <c r="D14" s="757" t="s">
        <v>440</v>
      </c>
      <c r="E14" s="545"/>
      <c r="F14" s="376"/>
      <c r="I14" s="483"/>
      <c r="L14" s="509"/>
      <c r="M14" s="510"/>
      <c r="N14" s="510"/>
      <c r="O14" s="510"/>
    </row>
    <row r="15" spans="2:15" ht="15.75" thickBot="1" x14ac:dyDescent="0.3">
      <c r="E15" s="376"/>
      <c r="F15" s="376"/>
      <c r="I15" s="483"/>
      <c r="L15" s="376"/>
      <c r="M15" s="377"/>
      <c r="O15" s="513"/>
    </row>
    <row r="16" spans="2:15" ht="16.5" thickBot="1" x14ac:dyDescent="0.3">
      <c r="C16" s="511" t="s">
        <v>320</v>
      </c>
      <c r="D16" s="485" t="s">
        <v>101</v>
      </c>
      <c r="E16" s="546"/>
      <c r="F16" s="376"/>
      <c r="I16" s="483"/>
      <c r="K16" s="782"/>
      <c r="L16" s="376"/>
      <c r="M16" s="377"/>
      <c r="O16" s="513"/>
    </row>
    <row r="17" spans="1:15" ht="24" hidden="1" customHeight="1" thickBot="1" x14ac:dyDescent="0.3">
      <c r="K17" s="806" t="s">
        <v>356</v>
      </c>
      <c r="L17" s="807"/>
      <c r="M17" s="807"/>
      <c r="N17" s="807"/>
      <c r="O17" s="808"/>
    </row>
    <row r="18" spans="1:15" ht="52.5" customHeight="1" thickBot="1" x14ac:dyDescent="0.3">
      <c r="C18" s="674" t="s">
        <v>322</v>
      </c>
      <c r="D18" s="675" t="s">
        <v>357</v>
      </c>
      <c r="E18" s="676" t="s">
        <v>317</v>
      </c>
      <c r="F18" s="675" t="s">
        <v>318</v>
      </c>
      <c r="G18" s="677" t="s">
        <v>355</v>
      </c>
      <c r="H18" s="677" t="s">
        <v>319</v>
      </c>
      <c r="I18" s="678" t="s">
        <v>354</v>
      </c>
      <c r="J18" s="679" t="s">
        <v>324</v>
      </c>
      <c r="K18" s="487" t="s">
        <v>321</v>
      </c>
      <c r="L18" s="489" t="s">
        <v>325</v>
      </c>
      <c r="M18" s="488" t="s">
        <v>326</v>
      </c>
      <c r="N18" s="488" t="s">
        <v>346</v>
      </c>
      <c r="O18" s="490" t="s">
        <v>353</v>
      </c>
    </row>
    <row r="19" spans="1:15" ht="57.75" customHeight="1" x14ac:dyDescent="0.25">
      <c r="A19" s="483">
        <v>1</v>
      </c>
      <c r="C19" s="815" t="s">
        <v>127</v>
      </c>
      <c r="D19" s="767">
        <v>4452</v>
      </c>
      <c r="E19" s="768" t="s">
        <v>157</v>
      </c>
      <c r="F19" s="767" t="str">
        <f>+VLOOKUP(E19,'Base Indicadores 1'!$B$7:$AM$85,10,0)</f>
        <v>Porcentaje</v>
      </c>
      <c r="G19" s="767" t="str">
        <f>+VLOOKUP(E19,'Base Indicadores 1'!$B$7:$AL$85,8,0)</f>
        <v>Anual</v>
      </c>
      <c r="H19" s="769" t="str">
        <f>+VLOOKUP(E19,'Base Indicadores 1'!$B$7:$AL$85,9,0)</f>
        <v>Capacidad</v>
      </c>
      <c r="I19" s="762">
        <f>+VLOOKUP(E19,'Base Indicadores 1'!$B$7:$AM$85,12,0)</f>
        <v>0.29399999999999998</v>
      </c>
      <c r="J19" s="761">
        <v>0.38</v>
      </c>
      <c r="K19" s="762">
        <f>+VLOOKUP(E19,'Base Indicadores 1'!$B$7:$AM$85,32,0)</f>
        <v>0.43480000000000002</v>
      </c>
      <c r="L19" s="763">
        <f>+VLOOKUP(E19,'Base Indicadores 1'!$B$7:$AM$85,35,0)</f>
        <v>1.6372093023255814</v>
      </c>
      <c r="M19" s="770" t="str">
        <f>VLOOKUP(E19,'Base Indicadores 1'!$B$7:$AM$85,36,0)</f>
        <v>Dato a diciembre 2017
Dato a diciembre 2018 sale en junio 19</v>
      </c>
      <c r="N19" s="767" t="s">
        <v>347</v>
      </c>
      <c r="O19" s="771">
        <f>+IF(L19&gt;100%,100%,L19)</f>
        <v>1</v>
      </c>
    </row>
    <row r="20" spans="1:15" ht="36.75" customHeight="1" x14ac:dyDescent="0.25">
      <c r="A20" s="483">
        <v>2</v>
      </c>
      <c r="C20" s="814"/>
      <c r="D20" s="756">
        <v>5162</v>
      </c>
      <c r="E20" s="680" t="s">
        <v>43</v>
      </c>
      <c r="F20" s="756" t="str">
        <f>+VLOOKUP(E20,'Base Indicadores 1'!$B$7:$AM$85,10,0)</f>
        <v>Colegios oficiales</v>
      </c>
      <c r="G20" s="756" t="str">
        <f>+VLOOKUP(E20,'Base Indicadores 1'!$B$7:$AL$85,8,0)</f>
        <v>Anual</v>
      </c>
      <c r="H20" s="681" t="str">
        <f>+VLOOKUP(E20,'Base Indicadores 1'!$B$7:$AL$85,9,0)</f>
        <v>Capacidad</v>
      </c>
      <c r="I20" s="686">
        <f>+VLOOKUP(E20,'Base Indicadores 1'!$B$7:$AM$85,12,0)</f>
        <v>2012</v>
      </c>
      <c r="J20" s="694">
        <f>+VLOOKUP(E20,'Base Indicadores 1'!$B$7:$AM$85,11,0)</f>
        <v>2720</v>
      </c>
      <c r="K20" s="686">
        <f>+VLOOKUP(E20,'Base Indicadores 1'!$B$7:$AM$85,32,0)</f>
        <v>2808</v>
      </c>
      <c r="L20" s="683">
        <f>+VLOOKUP(E20,'Base Indicadores 1'!$B$7:$AM$85,35,0)</f>
        <v>1.1242937853107344</v>
      </c>
      <c r="M20" s="684" t="str">
        <f>VLOOKUP(E20,'Base Indicadores 1'!$B$7:$AM$85,36,0)</f>
        <v>Dato a diciembre 2017
El dato a 2018 sale en junio 19</v>
      </c>
      <c r="N20" s="756" t="s">
        <v>347</v>
      </c>
      <c r="O20" s="772">
        <f t="shared" ref="O20:O72" si="0">+IF(L20&gt;100%,100%,L20)</f>
        <v>1</v>
      </c>
    </row>
    <row r="21" spans="1:15" ht="15" x14ac:dyDescent="0.25">
      <c r="A21" s="483">
        <v>3</v>
      </c>
      <c r="C21" s="814"/>
      <c r="D21" s="756">
        <v>5160</v>
      </c>
      <c r="E21" s="680" t="s">
        <v>42</v>
      </c>
      <c r="F21" s="756" t="str">
        <f>+VLOOKUP(E21,'Base Indicadores 1'!$B$7:$AM$85,10,0)</f>
        <v>Índice</v>
      </c>
      <c r="G21" s="756" t="str">
        <f>+VLOOKUP(E21,'Base Indicadores 1'!$B$7:$AL$85,8,0)</f>
        <v>Anual</v>
      </c>
      <c r="H21" s="681" t="str">
        <f>+VLOOKUP(E21,'Base Indicadores 1'!$B$7:$AL$85,9,0)</f>
        <v>Capacidad</v>
      </c>
      <c r="I21" s="682">
        <f>+VLOOKUP(E21,'Base Indicadores 1'!$B$7:$AM$85,12,0)</f>
        <v>5.0700000000000002E-2</v>
      </c>
      <c r="J21" s="685">
        <f>+VLOOKUP(E21,'Base Indicadores 1'!$B$7:$AM$85,11,0)</f>
        <v>5.6090000000000001E-2</v>
      </c>
      <c r="K21" s="682">
        <f>+VLOOKUP(E21,'Base Indicadores 1'!$B$7:$AM$85,32,0)</f>
        <v>5.67E-2</v>
      </c>
      <c r="L21" s="683">
        <f>+VLOOKUP(E21,'Base Indicadores 1'!$B$7:$AM$85,35,0)</f>
        <v>1.1131725417439702</v>
      </c>
      <c r="M21" s="684" t="str">
        <f>VLOOKUP(E21,'Base Indicadores 1'!$B$7:$AM$85,36,0)</f>
        <v>Dato a diciembre 2018</v>
      </c>
      <c r="N21" s="756" t="s">
        <v>347</v>
      </c>
      <c r="O21" s="772">
        <f t="shared" si="0"/>
        <v>1</v>
      </c>
    </row>
    <row r="22" spans="1:15" ht="30" x14ac:dyDescent="0.25">
      <c r="A22" s="483">
        <v>4</v>
      </c>
      <c r="C22" s="814"/>
      <c r="D22" s="756">
        <v>4495</v>
      </c>
      <c r="E22" s="680" t="s">
        <v>29</v>
      </c>
      <c r="F22" s="756" t="str">
        <f>+VLOOKUP(E22,'Base Indicadores 1'!$B$7:$AM$85,10,0)</f>
        <v>Porcentaje</v>
      </c>
      <c r="G22" s="756" t="str">
        <f>+VLOOKUP(E22,'Base Indicadores 1'!$B$7:$AL$85,8,0)</f>
        <v>Semestral</v>
      </c>
      <c r="H22" s="681" t="str">
        <f>+VLOOKUP(E22,'Base Indicadores 1'!$B$7:$AL$85,9,0)</f>
        <v>Flujo</v>
      </c>
      <c r="I22" s="682">
        <f>+VLOOKUP(E22,'Base Indicadores 1'!$B$7:$AM$85,12,0)</f>
        <v>0.33300000000000002</v>
      </c>
      <c r="J22" s="685">
        <f>+VLOOKUP(E22,'Base Indicadores 1'!$B$7:$AM$85,11,0)</f>
        <v>0.45</v>
      </c>
      <c r="K22" s="682">
        <f>+VLOOKUP(E22,'Base Indicadores 1'!$B$7:$AM$85,32,0)</f>
        <v>0.45400000000000001</v>
      </c>
      <c r="L22" s="683">
        <f>+VLOOKUP(E22,'Base Indicadores 1'!$B$7:$AM$85,35,0)</f>
        <v>1.0088888888888889</v>
      </c>
      <c r="M22" s="684" t="str">
        <f>VLOOKUP(E22,'Base Indicadores 1'!$B$7:$AM$85,36,0)</f>
        <v>Dato a diciembre 2017</v>
      </c>
      <c r="N22" s="756"/>
      <c r="O22" s="772">
        <f t="shared" si="0"/>
        <v>1</v>
      </c>
    </row>
    <row r="23" spans="1:15" ht="30" customHeight="1" x14ac:dyDescent="0.25">
      <c r="A23" s="483">
        <v>5</v>
      </c>
      <c r="C23" s="814"/>
      <c r="D23" s="756">
        <v>4468</v>
      </c>
      <c r="E23" s="680" t="s">
        <v>39</v>
      </c>
      <c r="F23" s="756" t="str">
        <f>+VLOOKUP(E23,'Base Indicadores 1'!$B$7:$AM$85,10,0)</f>
        <v>Docentes</v>
      </c>
      <c r="G23" s="756" t="str">
        <f>+VLOOKUP(E23,'Base Indicadores 1'!$B$7:$AL$85,8,0)</f>
        <v>Anual</v>
      </c>
      <c r="H23" s="681" t="str">
        <f>+VLOOKUP(E23,'Base Indicadores 1'!$B$7:$AL$85,9,0)</f>
        <v>Acumulado</v>
      </c>
      <c r="I23" s="686">
        <f>+VLOOKUP(E23,'Base Indicadores 1'!$B$7:$AM$85,12,0)</f>
        <v>5703</v>
      </c>
      <c r="J23" s="694">
        <f>+VLOOKUP(E23,'Base Indicadores 1'!$B$7:$AM$85,11,0)</f>
        <v>8000</v>
      </c>
      <c r="K23" s="686">
        <f>+VLOOKUP(E23,'Base Indicadores 1'!$B$7:$AM$85,32,0)</f>
        <v>9246</v>
      </c>
      <c r="L23" s="683">
        <f>+VLOOKUP(E23,'Base Indicadores 1'!$B$7:$AM$85,35,0)</f>
        <v>1.1557500000000001</v>
      </c>
      <c r="M23" s="684" t="str">
        <f>VLOOKUP(E23,'Base Indicadores 1'!$B$7:$AM$85,36,0)</f>
        <v>Dato a diciembre 2018</v>
      </c>
      <c r="N23" s="756"/>
      <c r="O23" s="772">
        <f t="shared" si="0"/>
        <v>1</v>
      </c>
    </row>
    <row r="24" spans="1:15" ht="45" x14ac:dyDescent="0.25">
      <c r="A24" s="483">
        <v>6</v>
      </c>
      <c r="C24" s="814"/>
      <c r="D24" s="756">
        <v>5007</v>
      </c>
      <c r="E24" s="680" t="s">
        <v>40</v>
      </c>
      <c r="F24" s="756" t="str">
        <f>+VLOOKUP(E24,'Base Indicadores 1'!$B$7:$AM$85,10,0)</f>
        <v>Porcentaje</v>
      </c>
      <c r="G24" s="756" t="str">
        <f>+VLOOKUP(E24,'Base Indicadores 1'!$B$7:$AL$85,8,0)</f>
        <v>Anual</v>
      </c>
      <c r="H24" s="681" t="str">
        <f>+VLOOKUP(E24,'Base Indicadores 1'!$B$7:$AL$85,9,0)</f>
        <v>Flujo</v>
      </c>
      <c r="I24" s="682">
        <f>+VLOOKUP(E24,'Base Indicadores 1'!$B$7:$AM$85,12,0)</f>
        <v>9.4E-2</v>
      </c>
      <c r="J24" s="685">
        <f>+VLOOKUP(E24,'Base Indicadores 1'!$B$7:$AM$85,11,0)</f>
        <v>0.12</v>
      </c>
      <c r="K24" s="682">
        <f>+VLOOKUP(E24,'Base Indicadores 1'!$B$7:$AM$85,32,0)</f>
        <v>0.10050000000000001</v>
      </c>
      <c r="L24" s="683">
        <f>+VLOOKUP(E24,'Base Indicadores 1'!$B$7:$AM$85,35,0)</f>
        <v>0.83750000000000013</v>
      </c>
      <c r="M24" s="684" t="str">
        <f>VLOOKUP(E24,'Base Indicadores 1'!$B$7:$AM$85,36,0)</f>
        <v>Dato a diciembre 2016</v>
      </c>
      <c r="N24" s="756"/>
      <c r="O24" s="772">
        <f t="shared" si="0"/>
        <v>0.83750000000000013</v>
      </c>
    </row>
    <row r="25" spans="1:15" ht="83.25" customHeight="1" x14ac:dyDescent="0.25">
      <c r="A25" s="483">
        <v>7</v>
      </c>
      <c r="C25" s="814"/>
      <c r="D25" s="756">
        <v>4451</v>
      </c>
      <c r="E25" s="680" t="s">
        <v>36</v>
      </c>
      <c r="F25" s="756" t="str">
        <f>+VLOOKUP(E25,'Base Indicadores 1'!$B$7:$AM$85,10,0)</f>
        <v>Porcentaje</v>
      </c>
      <c r="G25" s="756" t="str">
        <f>+VLOOKUP(E25,'Base Indicadores 1'!$B$7:$AL$85,8,0)</f>
        <v>Anual</v>
      </c>
      <c r="H25" s="681" t="str">
        <f>+VLOOKUP(E25,'Base Indicadores 1'!$B$7:$AL$85,9,0)</f>
        <v>Flujo</v>
      </c>
      <c r="I25" s="682">
        <f>+VLOOKUP(E25,'Base Indicadores 1'!$B$7:$AM$85,12,0)</f>
        <v>0.53100000000000003</v>
      </c>
      <c r="J25" s="685">
        <f>+VLOOKUP(E25,'Base Indicadores 1'!$B$7:$AM$85,11,0)</f>
        <v>0.75</v>
      </c>
      <c r="K25" s="682">
        <f>+VLOOKUP(E25,'Base Indicadores 1'!$B$7:$AM$85,32,0)</f>
        <v>0.57650000000000001</v>
      </c>
      <c r="L25" s="683">
        <f>+VLOOKUP(E25,'Base Indicadores 1'!$B$7:$AM$85,35,0)</f>
        <v>0.76866666666666672</v>
      </c>
      <c r="M25" s="684" t="str">
        <f>VLOOKUP(E25,'Base Indicadores 1'!$B$7:$AM$85,36,0)</f>
        <v>Dato a diciembre 2016
Pendiente reporte 2017 y 2018</v>
      </c>
      <c r="N25" s="756" t="s">
        <v>348</v>
      </c>
      <c r="O25" s="772">
        <f t="shared" si="0"/>
        <v>0.76866666666666672</v>
      </c>
    </row>
    <row r="26" spans="1:15" ht="44.25" customHeight="1" x14ac:dyDescent="0.25">
      <c r="A26" s="483">
        <v>8</v>
      </c>
      <c r="C26" s="814"/>
      <c r="D26" s="756">
        <v>4467</v>
      </c>
      <c r="E26" s="680" t="s">
        <v>38</v>
      </c>
      <c r="F26" s="756" t="str">
        <f>+VLOOKUP(E26,'Base Indicadores 1'!$B$7:$AM$85,10,0)</f>
        <v>Porcentaje</v>
      </c>
      <c r="G26" s="756" t="str">
        <f>+VLOOKUP(E26,'Base Indicadores 1'!$B$7:$AL$85,8,0)</f>
        <v>Anual</v>
      </c>
      <c r="H26" s="681" t="str">
        <f>+VLOOKUP(E26,'Base Indicadores 1'!$B$7:$AL$85,9,0)</f>
        <v>Capacidad</v>
      </c>
      <c r="I26" s="682">
        <f>+VLOOKUP(E26,'Base Indicadores 1'!$B$7:$AM$85,12,0)</f>
        <v>0</v>
      </c>
      <c r="J26" s="685">
        <f>+VLOOKUP(E26,'Base Indicadores 1'!$B$7:$AM$85,11,0)</f>
        <v>0.22</v>
      </c>
      <c r="K26" s="682">
        <f>+VLOOKUP(E26,'Base Indicadores 1'!$B$7:$AM$85,32,0)</f>
        <v>0.18</v>
      </c>
      <c r="L26" s="683">
        <f>+VLOOKUP(E26,'Base Indicadores 1'!$B$7:$AM$85,35,0)</f>
        <v>0.81818181818181812</v>
      </c>
      <c r="M26" s="684" t="str">
        <f>VLOOKUP(E26,'Base Indicadores 1'!$B$7:$AM$85,36,0)</f>
        <v>Dato a diciembre 2018</v>
      </c>
      <c r="N26" s="756" t="s">
        <v>348</v>
      </c>
      <c r="O26" s="772">
        <f t="shared" si="0"/>
        <v>0.81818181818181812</v>
      </c>
    </row>
    <row r="27" spans="1:15" ht="75" customHeight="1" x14ac:dyDescent="0.25">
      <c r="A27" s="483">
        <v>9</v>
      </c>
      <c r="C27" s="814"/>
      <c r="D27" s="756">
        <v>4497</v>
      </c>
      <c r="E27" s="680" t="s">
        <v>30</v>
      </c>
      <c r="F27" s="756" t="str">
        <f>+VLOOKUP(E27,'Base Indicadores 1'!$B$7:$AM$85,10,0)</f>
        <v>Porcentaje</v>
      </c>
      <c r="G27" s="756" t="str">
        <f>+VLOOKUP(E27,'Base Indicadores 1'!$B$7:$AL$85,8,0)</f>
        <v>Anual</v>
      </c>
      <c r="H27" s="681" t="str">
        <f>+VLOOKUP(E27,'Base Indicadores 1'!$B$7:$AL$85,9,0)</f>
        <v>Flujo</v>
      </c>
      <c r="I27" s="682">
        <f>+VLOOKUP(E27,'Base Indicadores 1'!$B$7:$AM$85,12,0)</f>
        <v>0</v>
      </c>
      <c r="J27" s="685">
        <f>+VLOOKUP(E27,'Base Indicadores 1'!$B$7:$AM$85,11,0)</f>
        <v>0.12</v>
      </c>
      <c r="K27" s="682">
        <f>+VLOOKUP(E27,'Base Indicadores 1'!$B$7:$AM$85,32,0)</f>
        <v>0</v>
      </c>
      <c r="L27" s="683">
        <f>+VLOOKUP(E27,'Base Indicadores 1'!$B$7:$AM$85,35,0)</f>
        <v>0</v>
      </c>
      <c r="M27" s="684" t="str">
        <f>VLOOKUP(E27,'Base Indicadores 1'!$B$7:$AM$85,36,0)</f>
        <v>Dato a diciembre 2017</v>
      </c>
      <c r="N27" s="756" t="s">
        <v>348</v>
      </c>
      <c r="O27" s="772">
        <f t="shared" si="0"/>
        <v>0</v>
      </c>
    </row>
    <row r="28" spans="1:15" ht="59.25" customHeight="1" x14ac:dyDescent="0.25">
      <c r="A28" s="483">
        <v>10</v>
      </c>
      <c r="C28" s="814" t="s">
        <v>130</v>
      </c>
      <c r="D28" s="756">
        <v>4436</v>
      </c>
      <c r="E28" s="680" t="s">
        <v>33</v>
      </c>
      <c r="F28" s="756" t="str">
        <f>+VLOOKUP(E28,'Base Indicadores 1'!$B$7:$AM$85,10,0)</f>
        <v>Porcentaje</v>
      </c>
      <c r="G28" s="756" t="str">
        <f>+VLOOKUP(E28,'Base Indicadores 1'!$B$7:$AL$85,8,0)</f>
        <v>Anual</v>
      </c>
      <c r="H28" s="681" t="str">
        <f>+VLOOKUP(E28,'Base Indicadores 1'!$B$7:$AL$85,9,0)</f>
        <v>Flujo</v>
      </c>
      <c r="I28" s="682">
        <f>+VLOOKUP(E28,'Base Indicadores 1'!$B$7:$AM$85,12,0)</f>
        <v>0.27700000000000002</v>
      </c>
      <c r="J28" s="685">
        <f>+VLOOKUP(E28,'Base Indicadores 1'!$B$7:$AM$85,11,0)</f>
        <v>0.309</v>
      </c>
      <c r="K28" s="682">
        <f>+VLOOKUP(E28,'Base Indicadores 1'!$B$7:$AM$85,32,0)</f>
        <v>0.32129999999999997</v>
      </c>
      <c r="L28" s="683">
        <f>+VLOOKUP(E28,'Base Indicadores 1'!$B$7:$AM$85,35,0)</f>
        <v>1.0398058252427185</v>
      </c>
      <c r="M28" s="684" t="str">
        <f>VLOOKUP(E28,'Base Indicadores 1'!$B$7:$AM$85,36,0)</f>
        <v>Dato a diciembre 2017</v>
      </c>
      <c r="N28" s="756" t="s">
        <v>347</v>
      </c>
      <c r="O28" s="772">
        <f t="shared" si="0"/>
        <v>1</v>
      </c>
    </row>
    <row r="29" spans="1:15" ht="30" customHeight="1" x14ac:dyDescent="0.25">
      <c r="A29" s="483">
        <v>11</v>
      </c>
      <c r="C29" s="814"/>
      <c r="D29" s="756">
        <v>5158</v>
      </c>
      <c r="E29" s="680" t="s">
        <v>41</v>
      </c>
      <c r="F29" s="756" t="str">
        <f>+VLOOKUP(E29,'Base Indicadores 1'!$B$7:$AM$85,10,0)</f>
        <v>Tutores</v>
      </c>
      <c r="G29" s="756" t="str">
        <f>+VLOOKUP(E29,'Base Indicadores 1'!$B$7:$AL$85,8,0)</f>
        <v>Bimestral</v>
      </c>
      <c r="H29" s="681" t="str">
        <f>+VLOOKUP(E29,'Base Indicadores 1'!$B$7:$AL$85,9,0)</f>
        <v>Capacidad</v>
      </c>
      <c r="I29" s="686">
        <f>+VLOOKUP(E29,'Base Indicadores 1'!$B$7:$AM$85,12,0)</f>
        <v>2889</v>
      </c>
      <c r="J29" s="694">
        <f>+VLOOKUP(E29,'Base Indicadores 1'!$B$7:$AM$85,11,0)</f>
        <v>4350</v>
      </c>
      <c r="K29" s="686">
        <f>+VLOOKUP(E29,'Base Indicadores 1'!$B$7:$AM$85,32,0)</f>
        <v>4138</v>
      </c>
      <c r="L29" s="683">
        <f>+VLOOKUP(E29,'Base Indicadores 1'!$B$7:$AM$85,35,0)</f>
        <v>0.85489390828199863</v>
      </c>
      <c r="M29" s="684" t="str">
        <f>VLOOKUP(E29,'Base Indicadores 1'!$B$7:$AM$85,36,0)</f>
        <v xml:space="preserve">Diciembre: 4.138
septiembre: 4.138
Dato a junio 2018
Febrero: 3.998
Abril: 4.138
</v>
      </c>
      <c r="N29" s="756"/>
      <c r="O29" s="772">
        <f t="shared" si="0"/>
        <v>0.85489390828199863</v>
      </c>
    </row>
    <row r="30" spans="1:15" ht="72.75" customHeight="1" x14ac:dyDescent="0.25">
      <c r="A30" s="483">
        <v>12</v>
      </c>
      <c r="C30" s="814"/>
      <c r="D30" s="756">
        <v>4437</v>
      </c>
      <c r="E30" s="680" t="s">
        <v>34</v>
      </c>
      <c r="F30" s="756" t="str">
        <f>+VLOOKUP(E30,'Base Indicadores 1'!$B$7:$AM$85,10,0)</f>
        <v>Porcentaje</v>
      </c>
      <c r="G30" s="756" t="str">
        <f>+VLOOKUP(E30,'Base Indicadores 1'!$B$7:$AL$85,8,0)</f>
        <v>Anual</v>
      </c>
      <c r="H30" s="681" t="str">
        <f>+VLOOKUP(E30,'Base Indicadores 1'!$B$7:$AL$85,9,0)</f>
        <v>Flujo</v>
      </c>
      <c r="I30" s="682">
        <f>+VLOOKUP(E30,'Base Indicadores 1'!$B$7:$AM$85,12,0)</f>
        <v>0.217</v>
      </c>
      <c r="J30" s="685">
        <f>+VLOOKUP(E30,'Base Indicadores 1'!$B$7:$AM$85,11,0)</f>
        <v>0.29899999999999999</v>
      </c>
      <c r="K30" s="682">
        <f>+VLOOKUP(E30,'Base Indicadores 1'!$B$7:$AM$85,32,0)</f>
        <v>0.2084</v>
      </c>
      <c r="L30" s="683">
        <f>+VLOOKUP(E30,'Base Indicadores 1'!$B$7:$AM$85,35,0)</f>
        <v>0.69698996655518397</v>
      </c>
      <c r="M30" s="684" t="str">
        <f>VLOOKUP(E30,'Base Indicadores 1'!$B$7:$AM$85,36,0)</f>
        <v>Dato a diciembre 2017</v>
      </c>
      <c r="N30" s="756" t="s">
        <v>348</v>
      </c>
      <c r="O30" s="772">
        <f t="shared" si="0"/>
        <v>0.69698996655518397</v>
      </c>
    </row>
    <row r="31" spans="1:15" ht="39.75" customHeight="1" x14ac:dyDescent="0.25">
      <c r="A31" s="483">
        <v>13</v>
      </c>
      <c r="C31" s="814"/>
      <c r="D31" s="756">
        <v>4438</v>
      </c>
      <c r="E31" s="680" t="s">
        <v>35</v>
      </c>
      <c r="F31" s="756" t="str">
        <f>+VLOOKUP(E31,'Base Indicadores 1'!$B$7:$AM$85,10,0)</f>
        <v>Razon</v>
      </c>
      <c r="G31" s="756" t="str">
        <f>+VLOOKUP(E31,'Base Indicadores 1'!$B$7:$AL$85,8,0)</f>
        <v>Anual</v>
      </c>
      <c r="H31" s="681" t="str">
        <f>+VLOOKUP(E31,'Base Indicadores 1'!$B$7:$AL$85,9,0)</f>
        <v>Reducción</v>
      </c>
      <c r="I31" s="688">
        <f>+VLOOKUP(E31,'Base Indicadores 1'!$B$7:$AM$85,12,0)</f>
        <v>27</v>
      </c>
      <c r="J31" s="695">
        <f>+VLOOKUP(E31,'Base Indicadores 1'!$B$7:$AM$85,11,0)</f>
        <v>20</v>
      </c>
      <c r="K31" s="688">
        <f>+VLOOKUP(E31,'Base Indicadores 1'!$B$7:$AM$85,32,0)</f>
        <v>23.49</v>
      </c>
      <c r="L31" s="683">
        <f>+VLOOKUP(E31,'Base Indicadores 1'!$B$7:$AM$85,35,0)</f>
        <v>0.50142857142857167</v>
      </c>
      <c r="M31" s="684" t="str">
        <f>VLOOKUP(E31,'Base Indicadores 1'!$B$7:$AM$85,36,0)</f>
        <v>Dato a diciembre 2018</v>
      </c>
      <c r="N31" s="756" t="s">
        <v>348</v>
      </c>
      <c r="O31" s="772">
        <f t="shared" si="0"/>
        <v>0.50142857142857167</v>
      </c>
    </row>
    <row r="32" spans="1:15" ht="63" customHeight="1" x14ac:dyDescent="0.25">
      <c r="A32" s="483">
        <v>14</v>
      </c>
      <c r="C32" s="814" t="s">
        <v>129</v>
      </c>
      <c r="D32" s="756">
        <v>4499</v>
      </c>
      <c r="E32" s="680" t="s">
        <v>32</v>
      </c>
      <c r="F32" s="756" t="str">
        <f>+VLOOKUP(E32,'Base Indicadores 1'!$B$7:$AM$85,10,0)</f>
        <v>Porcentaje</v>
      </c>
      <c r="G32" s="756" t="str">
        <f>+VLOOKUP(E32,'Base Indicadores 1'!$B$7:$AL$85,8,0)</f>
        <v>Trimestral</v>
      </c>
      <c r="H32" s="681" t="str">
        <f>+VLOOKUP(E32,'Base Indicadores 1'!$B$7:$AL$85,9,0)</f>
        <v>Capacidad</v>
      </c>
      <c r="I32" s="682">
        <f>+VLOOKUP(E32,'Base Indicadores 1'!$B$7:$AM$85,12,0)</f>
        <v>0</v>
      </c>
      <c r="J32" s="685">
        <f>+VLOOKUP(E32,'Base Indicadores 1'!$B$7:$AM$85,11,0)</f>
        <v>0.2</v>
      </c>
      <c r="K32" s="682">
        <f>+VLOOKUP(E32,'Base Indicadores 1'!$B$7:$AM$85,32,0)</f>
        <v>0.13389999999999999</v>
      </c>
      <c r="L32" s="683">
        <f>+VLOOKUP(E32,'Base Indicadores 1'!$B$7:$AM$85,35,0)</f>
        <v>0.66949999999999987</v>
      </c>
      <c r="M32" s="684" t="str">
        <f>VLOOKUP(E32,'Base Indicadores 1'!$B$7:$AM$85,36,0)</f>
        <v>dato a septiembre- REPORTE OAPF</v>
      </c>
      <c r="N32" s="756" t="s">
        <v>348</v>
      </c>
      <c r="O32" s="772">
        <f t="shared" si="0"/>
        <v>0.66949999999999987</v>
      </c>
    </row>
    <row r="33" spans="1:15" ht="59.25" customHeight="1" x14ac:dyDescent="0.25">
      <c r="A33" s="483">
        <v>15</v>
      </c>
      <c r="C33" s="814"/>
      <c r="D33" s="756">
        <v>5163</v>
      </c>
      <c r="E33" s="680" t="s">
        <v>44</v>
      </c>
      <c r="F33" s="756" t="str">
        <f>+VLOOKUP(E33,'Base Indicadores 1'!$B$7:$AM$85,10,0)</f>
        <v>Estudiantes</v>
      </c>
      <c r="G33" s="756" t="str">
        <f>+VLOOKUP(E33,'Base Indicadores 1'!$B$7:$AL$85,8,0)</f>
        <v>Trimestral</v>
      </c>
      <c r="H33" s="681" t="str">
        <f>+VLOOKUP(E33,'Base Indicadores 1'!$B$7:$AL$85,9,0)</f>
        <v>Capacidad</v>
      </c>
      <c r="I33" s="688">
        <f>+VLOOKUP(E33,'Base Indicadores 1'!$B$7:$AM$85,12,0)</f>
        <v>0</v>
      </c>
      <c r="J33" s="694">
        <f>+VLOOKUP(E33,'Base Indicadores 1'!$B$7:$AM$85,11,0)</f>
        <v>1500000</v>
      </c>
      <c r="K33" s="686">
        <f>+VLOOKUP(E33,'Base Indicadores 1'!$B$7:$AM$85,32,0)</f>
        <v>992888</v>
      </c>
      <c r="L33" s="683">
        <f>+VLOOKUP(E33,'Base Indicadores 1'!$B$7:$AM$85,35,0)</f>
        <v>0.66192533333333337</v>
      </c>
      <c r="M33" s="684" t="str">
        <f>VLOOKUP(E33,'Base Indicadores 1'!$B$7:$AM$85,36,0)</f>
        <v>dato a Noviembre- INFORMACIÓN OAPF
Marzo: 788.973
Junio: 931.771
*Octubre. 984.160
Noviembre: 977.898
Dato cierre diciembre sale en junio-19</v>
      </c>
      <c r="N33" s="756" t="s">
        <v>348</v>
      </c>
      <c r="O33" s="772">
        <f t="shared" si="0"/>
        <v>0.66192533333333337</v>
      </c>
    </row>
    <row r="34" spans="1:15" ht="43.5" customHeight="1" x14ac:dyDescent="0.25">
      <c r="A34" s="483">
        <v>16</v>
      </c>
      <c r="C34" s="814" t="s">
        <v>128</v>
      </c>
      <c r="D34" s="756">
        <v>4498</v>
      </c>
      <c r="E34" s="680" t="s">
        <v>31</v>
      </c>
      <c r="F34" s="756" t="str">
        <f>+VLOOKUP(E34,'Base Indicadores 1'!$B$7:$AM$85,10,0)</f>
        <v>Porcentaje</v>
      </c>
      <c r="G34" s="756" t="str">
        <f>+VLOOKUP(E34,'Base Indicadores 1'!$B$7:$AL$85,8,0)</f>
        <v>Anual</v>
      </c>
      <c r="H34" s="681" t="str">
        <f>+VLOOKUP(E34,'Base Indicadores 1'!$B$7:$AL$85,9,0)</f>
        <v>Flujo</v>
      </c>
      <c r="I34" s="682">
        <f>+VLOOKUP(E34,'Base Indicadores 1'!$B$7:$AM$85,12,0)</f>
        <v>2.2599999999999999E-2</v>
      </c>
      <c r="J34" s="685">
        <f>+VLOOKUP(E34,'Base Indicadores 1'!$B$7:$AM$85,11,0)</f>
        <v>0.08</v>
      </c>
      <c r="K34" s="682">
        <f>+VLOOKUP(E34,'Base Indicadores 1'!$B$7:$AM$85,32,0)</f>
        <v>4.7500000000000001E-2</v>
      </c>
      <c r="L34" s="683">
        <f>+VLOOKUP(E34,'Base Indicadores 1'!$B$7:$AM$85,35,0)</f>
        <v>0.59375</v>
      </c>
      <c r="M34" s="684" t="str">
        <f>VLOOKUP(E34,'Base Indicadores 1'!$B$7:$AM$85,36,0)</f>
        <v>Dato a diciembre 2017</v>
      </c>
      <c r="N34" s="756" t="s">
        <v>348</v>
      </c>
      <c r="O34" s="772">
        <f t="shared" si="0"/>
        <v>0.59375</v>
      </c>
    </row>
    <row r="35" spans="1:15" ht="45" x14ac:dyDescent="0.25">
      <c r="A35" s="483">
        <v>17</v>
      </c>
      <c r="C35" s="814"/>
      <c r="D35" s="756">
        <v>5464</v>
      </c>
      <c r="E35" s="680" t="s">
        <v>75</v>
      </c>
      <c r="F35" s="756" t="str">
        <f>+VLOOKUP(E35,'Base Indicadores 1'!$B$7:$AM$85,10,0)</f>
        <v xml:space="preserve">Secretarias de Educación </v>
      </c>
      <c r="G35" s="756" t="str">
        <f>+VLOOKUP(E35,'Base Indicadores 1'!$B$7:$AL$85,8,0)</f>
        <v>Trimestral</v>
      </c>
      <c r="H35" s="681" t="str">
        <f>+VLOOKUP(E35,'Base Indicadores 1'!$B$7:$AL$85,9,0)</f>
        <v>Flujo</v>
      </c>
      <c r="I35" s="686">
        <f>+VLOOKUP(E35,'Base Indicadores 1'!$B$7:$AM$85,12,0)</f>
        <v>94</v>
      </c>
      <c r="J35" s="694">
        <f>+VLOOKUP(E35,'Base Indicadores 1'!$B$7:$AM$85,11,0)</f>
        <v>95</v>
      </c>
      <c r="K35" s="686">
        <f>+VLOOKUP(E35,'Base Indicadores 1'!$B$7:$AM$85,32,0)</f>
        <v>73</v>
      </c>
      <c r="L35" s="683">
        <f>+VLOOKUP(E35,'Base Indicadores 1'!$B$7:$AM$85,35,0)</f>
        <v>0.76842105263157889</v>
      </c>
      <c r="M35" s="684" t="s">
        <v>416</v>
      </c>
      <c r="N35" s="689" t="s">
        <v>348</v>
      </c>
      <c r="O35" s="772">
        <f t="shared" si="0"/>
        <v>0.76842105263157889</v>
      </c>
    </row>
    <row r="36" spans="1:15" ht="52.5" customHeight="1" x14ac:dyDescent="0.25">
      <c r="A36" s="483">
        <v>18</v>
      </c>
      <c r="C36" s="814"/>
      <c r="D36" s="756">
        <v>5466</v>
      </c>
      <c r="E36" s="680" t="s">
        <v>77</v>
      </c>
      <c r="F36" s="756" t="str">
        <f>+VLOOKUP(E36,'Base Indicadores 1'!$B$7:$AM$85,10,0)</f>
        <v>Municipios</v>
      </c>
      <c r="G36" s="756" t="str">
        <f>+VLOOKUP(E36,'Base Indicadores 1'!$B$7:$AL$85,8,0)</f>
        <v>Semestral</v>
      </c>
      <c r="H36" s="681" t="str">
        <f>+VLOOKUP(E36,'Base Indicadores 1'!$B$7:$AL$85,9,0)</f>
        <v>Capacidad</v>
      </c>
      <c r="I36" s="688">
        <f>+VLOOKUP(E36,'Base Indicadores 1'!$B$7:$AM$85,12,0)</f>
        <v>0</v>
      </c>
      <c r="J36" s="694">
        <f>+VLOOKUP(E36,'Base Indicadores 1'!$B$7:$AM$85,11,0)</f>
        <v>282</v>
      </c>
      <c r="K36" s="686">
        <f>+VLOOKUP(E36,'Base Indicadores 1'!$B$7:$AM$85,32,0)</f>
        <v>269</v>
      </c>
      <c r="L36" s="683">
        <f>+VLOOKUP(E36,'Base Indicadores 1'!$B$7:$AM$85,35,0)</f>
        <v>0.95390070921985815</v>
      </c>
      <c r="M36" s="684" t="str">
        <f>VLOOKUP(E36,'Base Indicadores 1'!$B$7:$AM$85,36,0)</f>
        <v>Dato a junio 2018
PENDIENTE DATO DIC 2018</v>
      </c>
      <c r="N36" s="689"/>
      <c r="O36" s="772">
        <f t="shared" si="0"/>
        <v>0.95390070921985815</v>
      </c>
    </row>
    <row r="37" spans="1:15" ht="59.25" customHeight="1" x14ac:dyDescent="0.25">
      <c r="A37" s="483">
        <v>19</v>
      </c>
      <c r="C37" s="814"/>
      <c r="D37" s="756">
        <v>5465</v>
      </c>
      <c r="E37" s="690" t="s">
        <v>76</v>
      </c>
      <c r="F37" s="756" t="str">
        <f>+VLOOKUP(E37,'Base Indicadores 1'!$B$7:$AM$85,10,0)</f>
        <v>Porcentaje</v>
      </c>
      <c r="G37" s="756" t="str">
        <f>+VLOOKUP(E37,'Base Indicadores 1'!$B$7:$AL$85,8,0)</f>
        <v>Trimestral</v>
      </c>
      <c r="H37" s="681" t="str">
        <f>+VLOOKUP(E37,'Base Indicadores 1'!$B$7:$AL$85,9,0)</f>
        <v>Capacidad</v>
      </c>
      <c r="I37" s="682">
        <f>+VLOOKUP(E37,'Base Indicadores 1'!$B$7:$AM$85,12,0)</f>
        <v>0</v>
      </c>
      <c r="J37" s="685">
        <f>+VLOOKUP(E37,'Base Indicadores 1'!$B$7:$AM$85,11,0)</f>
        <v>0.5</v>
      </c>
      <c r="K37" s="682">
        <f>+VLOOKUP(E37,'Base Indicadores 1'!$B$7:$AM$85,32,0)</f>
        <v>0.32</v>
      </c>
      <c r="L37" s="683">
        <f>+VLOOKUP(E37,'Base Indicadores 1'!$B$7:$AM$85,35,0)</f>
        <v>0.64</v>
      </c>
      <c r="M37" s="684" t="str">
        <f>VLOOKUP(E37,'Base Indicadores 1'!$B$7:$AM$85,36,0)</f>
        <v>Dato a Septiembre 2018
PENDIENTE DATO A DICIEMBRE 2018</v>
      </c>
      <c r="N37" s="689" t="s">
        <v>348</v>
      </c>
      <c r="O37" s="773">
        <f t="shared" si="0"/>
        <v>0.64</v>
      </c>
    </row>
    <row r="38" spans="1:15" ht="54" customHeight="1" x14ac:dyDescent="0.25">
      <c r="A38" s="483">
        <v>20</v>
      </c>
      <c r="C38" s="814" t="s">
        <v>123</v>
      </c>
      <c r="D38" s="756">
        <v>4999</v>
      </c>
      <c r="E38" s="680" t="s">
        <v>24</v>
      </c>
      <c r="F38" s="756" t="str">
        <f>+VLOOKUP(E38,'Base Indicadores 1'!$B$7:$AM$85,10,0)</f>
        <v>Estudiantes</v>
      </c>
      <c r="G38" s="756" t="str">
        <f>+VLOOKUP(E38,'Base Indicadores 1'!$B$7:$AL$85,8,0)</f>
        <v>Anual</v>
      </c>
      <c r="H38" s="681" t="str">
        <f>+VLOOKUP(E38,'Base Indicadores 1'!$B$7:$AL$85,9,0)</f>
        <v>Acumulado</v>
      </c>
      <c r="I38" s="686">
        <f>+VLOOKUP(E38,'Base Indicadores 1'!$B$7:$AM$85,12,0)</f>
        <v>432372</v>
      </c>
      <c r="J38" s="694">
        <f>+VLOOKUP(E38,'Base Indicadores 1'!$B$7:$AM$85,11,0)</f>
        <v>500798</v>
      </c>
      <c r="K38" s="686">
        <f>+VLOOKUP(E38,'Base Indicadores 1'!$B$7:$AM$85,32,0)</f>
        <v>404271</v>
      </c>
      <c r="L38" s="683">
        <f>+VLOOKUP(E38,'Base Indicadores 1'!$B$7:$AM$85,35,0)</f>
        <v>0.80725362321734506</v>
      </c>
      <c r="M38" s="684" t="str">
        <f>VLOOKUP(E38,'Base Indicadores 1'!$B$7:$AM$85,36,0)</f>
        <v>Dato a diciembre 2017
Dato a 2018 sale en mayo 19</v>
      </c>
      <c r="N38" s="689"/>
      <c r="O38" s="772">
        <f t="shared" si="0"/>
        <v>0.80725362321734506</v>
      </c>
    </row>
    <row r="39" spans="1:15" ht="70.5" customHeight="1" x14ac:dyDescent="0.25">
      <c r="A39" s="483">
        <v>21</v>
      </c>
      <c r="C39" s="814"/>
      <c r="D39" s="756">
        <v>5012</v>
      </c>
      <c r="E39" s="680" t="s">
        <v>17</v>
      </c>
      <c r="F39" s="756" t="str">
        <f>+VLOOKUP(E39,'Base Indicadores 1'!$B$7:$AM$85,10,0)</f>
        <v>Estudiantes</v>
      </c>
      <c r="G39" s="756" t="str">
        <f>+VLOOKUP(E39,'Base Indicadores 1'!$B$7:$AL$85,8,0)</f>
        <v>Anual</v>
      </c>
      <c r="H39" s="681" t="str">
        <f>+VLOOKUP(E39,'Base Indicadores 1'!$B$7:$AL$85,9,0)</f>
        <v>Flujo</v>
      </c>
      <c r="I39" s="686">
        <f>+VLOOKUP(E39,'Base Indicadores 1'!$B$7:$AM$85,12,0)</f>
        <v>362740</v>
      </c>
      <c r="J39" s="694">
        <f>+VLOOKUP(E39,'Base Indicadores 1'!$B$7:$AM$85,11,0)</f>
        <v>366740</v>
      </c>
      <c r="K39" s="686">
        <f>+VLOOKUP(E39,'Base Indicadores 1'!$B$7:$AM$85,32,0)</f>
        <v>327111</v>
      </c>
      <c r="L39" s="683">
        <f>+VLOOKUP(E39,'Base Indicadores 1'!$B$7:$AM$85,35,0)</f>
        <v>0.89194252058679169</v>
      </c>
      <c r="M39" s="684" t="str">
        <f>VLOOKUP(E39,'Base Indicadores 1'!$B$7:$AM$85,36,0)</f>
        <v>Dato a diciembre 2017
Dato a 2018 sale en mayo 19</v>
      </c>
      <c r="N39" s="689"/>
      <c r="O39" s="772">
        <f t="shared" si="0"/>
        <v>0.89194252058679169</v>
      </c>
    </row>
    <row r="40" spans="1:15" ht="30" x14ac:dyDescent="0.25">
      <c r="A40" s="483">
        <v>22</v>
      </c>
      <c r="C40" s="814"/>
      <c r="D40" s="756">
        <v>5015</v>
      </c>
      <c r="E40" s="680" t="s">
        <v>14</v>
      </c>
      <c r="F40" s="756" t="str">
        <f>+VLOOKUP(E40,'Base Indicadores 1'!$B$7:$AM$85,10,0)</f>
        <v>Estudiantes</v>
      </c>
      <c r="G40" s="756" t="str">
        <f>+VLOOKUP(E40,'Base Indicadores 1'!$B$7:$AL$85,8,0)</f>
        <v>Anual</v>
      </c>
      <c r="H40" s="681" t="str">
        <f>+VLOOKUP(E40,'Base Indicadores 1'!$B$7:$AL$85,9,0)</f>
        <v>Flujo</v>
      </c>
      <c r="I40" s="686">
        <f>+VLOOKUP(E40,'Base Indicadores 1'!$B$7:$AM$85,12,0)</f>
        <v>109658</v>
      </c>
      <c r="J40" s="694">
        <f>+VLOOKUP(E40,'Base Indicadores 1'!$B$7:$AM$85,11,0)</f>
        <v>135964</v>
      </c>
      <c r="K40" s="686">
        <f>+VLOOKUP(E40,'Base Indicadores 1'!$B$7:$AM$85,32,0)</f>
        <v>112959</v>
      </c>
      <c r="L40" s="683">
        <f>+VLOOKUP(E40,'Base Indicadores 1'!$B$7:$AM$85,35,0)</f>
        <v>0.83080080021182079</v>
      </c>
      <c r="M40" s="684" t="str">
        <f>VLOOKUP(E40,'Base Indicadores 1'!$B$7:$AM$85,36,0)</f>
        <v>Dato a diciembre 2017</v>
      </c>
      <c r="N40" s="689"/>
      <c r="O40" s="772">
        <f t="shared" si="0"/>
        <v>0.83080080021182079</v>
      </c>
    </row>
    <row r="41" spans="1:15" ht="44.25" customHeight="1" x14ac:dyDescent="0.25">
      <c r="A41" s="483">
        <v>23</v>
      </c>
      <c r="C41" s="814"/>
      <c r="D41" s="756">
        <v>5001</v>
      </c>
      <c r="E41" s="691" t="s">
        <v>26</v>
      </c>
      <c r="F41" s="756" t="str">
        <f>+VLOOKUP(E41,'Base Indicadores 1'!$B$7:$AM$85,10,0)</f>
        <v>Personas</v>
      </c>
      <c r="G41" s="756" t="str">
        <f>+VLOOKUP(E41,'Base Indicadores 1'!$B$7:$AL$85,8,0)</f>
        <v>Anual</v>
      </c>
      <c r="H41" s="681" t="str">
        <f>+VLOOKUP(E41,'Base Indicadores 1'!$B$7:$AL$85,9,0)</f>
        <v>Reducción</v>
      </c>
      <c r="I41" s="686">
        <f>+VLOOKUP(E41,'Base Indicadores 1'!$B$7:$AM$85,12,0)</f>
        <v>690512</v>
      </c>
      <c r="J41" s="694">
        <f>+VLOOKUP(E41,'Base Indicadores 1'!$B$7:$AM$85,11,0)</f>
        <v>553408</v>
      </c>
      <c r="K41" s="686">
        <f>+VLOOKUP(E41,'Base Indicadores 1'!$B$7:$AM$85,32,0)</f>
        <v>660327</v>
      </c>
      <c r="L41" s="683">
        <f>+VLOOKUP(E41,'Base Indicadores 1'!$B$7:$AM$85,35,0)</f>
        <v>0.22016133737892402</v>
      </c>
      <c r="M41" s="684" t="str">
        <f>VLOOKUP(E41,'Base Indicadores 1'!$B$7:$AM$85,36,0)</f>
        <v>Dato a diciembre 2017
Dato a 2018 sale en junio 19</v>
      </c>
      <c r="N41" s="689" t="s">
        <v>348</v>
      </c>
      <c r="O41" s="772">
        <f t="shared" si="0"/>
        <v>0.22016133737892402</v>
      </c>
    </row>
    <row r="42" spans="1:15" ht="30" x14ac:dyDescent="0.25">
      <c r="A42" s="483">
        <v>24</v>
      </c>
      <c r="C42" s="814"/>
      <c r="D42" s="756">
        <v>4441</v>
      </c>
      <c r="E42" s="680" t="s">
        <v>4</v>
      </c>
      <c r="F42" s="756" t="str">
        <f>+VLOOKUP(E42,'Base Indicadores 1'!$B$7:$AM$85,10,0)</f>
        <v>Porcentaje</v>
      </c>
      <c r="G42" s="756" t="str">
        <f>+VLOOKUP(E42,'Base Indicadores 1'!$B$7:$AL$85,8,0)</f>
        <v>Anual</v>
      </c>
      <c r="H42" s="681" t="str">
        <f>+VLOOKUP(E42,'Base Indicadores 1'!$B$7:$AL$85,9,0)</f>
        <v>Flujo</v>
      </c>
      <c r="I42" s="682">
        <f>+VLOOKUP(E42,'Base Indicadores 1'!$B$7:$AM$85,12,0)</f>
        <v>0.871</v>
      </c>
      <c r="J42" s="685">
        <f>+VLOOKUP(E42,'Base Indicadores 1'!$B$7:$AM$85,11,0)</f>
        <v>0.93</v>
      </c>
      <c r="K42" s="682">
        <f>+VLOOKUP(E42,'Base Indicadores 1'!$B$7:$AM$85,32,0)</f>
        <v>0.86040000000000005</v>
      </c>
      <c r="L42" s="683">
        <f>+VLOOKUP(E42,'Base Indicadores 1'!$B$7:$AM$85,35,0)</f>
        <v>0.92516129032258065</v>
      </c>
      <c r="M42" s="684" t="str">
        <f>VLOOKUP(E42,'Base Indicadores 1'!$B$7:$AM$85,36,0)</f>
        <v>Dato a diciembre 2017
El dato a 2018 sale en mayo-19</v>
      </c>
      <c r="N42" s="689"/>
      <c r="O42" s="772">
        <f t="shared" si="0"/>
        <v>0.92516129032258065</v>
      </c>
    </row>
    <row r="43" spans="1:15" ht="30" x14ac:dyDescent="0.25">
      <c r="A43" s="483">
        <v>25</v>
      </c>
      <c r="C43" s="814"/>
      <c r="D43" s="756">
        <v>5000</v>
      </c>
      <c r="E43" s="680" t="s">
        <v>25</v>
      </c>
      <c r="F43" s="756" t="str">
        <f>+VLOOKUP(E43,'Base Indicadores 1'!$B$7:$AM$85,10,0)</f>
        <v>Sedes educativas</v>
      </c>
      <c r="G43" s="756" t="str">
        <f>+VLOOKUP(E43,'Base Indicadores 1'!$B$7:$AL$85,8,0)</f>
        <v>Anual</v>
      </c>
      <c r="H43" s="681" t="str">
        <f>+VLOOKUP(E43,'Base Indicadores 1'!$B$7:$AL$85,9,0)</f>
        <v>Flujo</v>
      </c>
      <c r="I43" s="686">
        <f>+VLOOKUP(E43,'Base Indicadores 1'!$B$7:$AM$85,12,0)</f>
        <v>5258</v>
      </c>
      <c r="J43" s="694">
        <f>+VLOOKUP(E43,'Base Indicadores 1'!$B$7:$AM$85,11,0)</f>
        <v>3869</v>
      </c>
      <c r="K43" s="686">
        <f>+VLOOKUP(E43,'Base Indicadores 1'!$B$7:$AM$85,32,0)</f>
        <v>4525</v>
      </c>
      <c r="L43" s="683">
        <f>+VLOOKUP(E43,'Base Indicadores 1'!$B$7:$AM$85,35,0)</f>
        <v>1.1695528560351511</v>
      </c>
      <c r="M43" s="684" t="str">
        <f>VLOOKUP(E43,'Base Indicadores 1'!$B$7:$AM$85,36,0)</f>
        <v>Dato a diciembre 2017
Dato a 2018 sale en mayo 19</v>
      </c>
      <c r="N43" s="689" t="s">
        <v>347</v>
      </c>
      <c r="O43" s="772">
        <f t="shared" si="0"/>
        <v>1</v>
      </c>
    </row>
    <row r="44" spans="1:15" ht="43.5" customHeight="1" x14ac:dyDescent="0.25">
      <c r="A44" s="483">
        <v>26</v>
      </c>
      <c r="C44" s="814"/>
      <c r="D44" s="756">
        <v>5010</v>
      </c>
      <c r="E44" s="680" t="s">
        <v>22</v>
      </c>
      <c r="F44" s="756" t="str">
        <f>+VLOOKUP(E44,'Base Indicadores 1'!$B$7:$AM$85,10,0)</f>
        <v>Sedes educativas</v>
      </c>
      <c r="G44" s="756" t="str">
        <f>+VLOOKUP(E44,'Base Indicadores 1'!$B$7:$AL$85,8,0)</f>
        <v>Anual</v>
      </c>
      <c r="H44" s="681" t="str">
        <f>+VLOOKUP(E44,'Base Indicadores 1'!$B$7:$AL$85,9,0)</f>
        <v>Flujo</v>
      </c>
      <c r="I44" s="686">
        <f>+VLOOKUP(E44,'Base Indicadores 1'!$B$7:$AM$85,12,0)</f>
        <v>784</v>
      </c>
      <c r="J44" s="694">
        <f>+VLOOKUP(E44,'Base Indicadores 1'!$B$7:$AM$85,11,0)</f>
        <v>812</v>
      </c>
      <c r="K44" s="686">
        <f>+VLOOKUP(E44,'Base Indicadores 1'!$B$7:$AM$85,32,0)</f>
        <v>800</v>
      </c>
      <c r="L44" s="683">
        <f>+VLOOKUP(E44,'Base Indicadores 1'!$B$7:$AM$85,35,0)</f>
        <v>0.98522167487684731</v>
      </c>
      <c r="M44" s="684" t="str">
        <f>VLOOKUP(E44,'Base Indicadores 1'!$B$7:$AM$85,36,0)</f>
        <v>Dato a diciembre 2017</v>
      </c>
      <c r="N44" s="689"/>
      <c r="O44" s="772">
        <f t="shared" si="0"/>
        <v>0.98522167487684731</v>
      </c>
    </row>
    <row r="45" spans="1:15" ht="45.75" customHeight="1" x14ac:dyDescent="0.25">
      <c r="A45" s="483">
        <v>27</v>
      </c>
      <c r="C45" s="814"/>
      <c r="D45" s="756">
        <v>5016</v>
      </c>
      <c r="E45" s="680" t="s">
        <v>15</v>
      </c>
      <c r="F45" s="756" t="str">
        <f>+VLOOKUP(E45,'Base Indicadores 1'!$B$7:$AM$85,10,0)</f>
        <v>Sedes educativas</v>
      </c>
      <c r="G45" s="756" t="str">
        <f>+VLOOKUP(E45,'Base Indicadores 1'!$B$7:$AL$85,8,0)</f>
        <v>Anual</v>
      </c>
      <c r="H45" s="681" t="str">
        <f>+VLOOKUP(E45,'Base Indicadores 1'!$B$7:$AL$85,9,0)</f>
        <v>Flujo</v>
      </c>
      <c r="I45" s="686">
        <f>+VLOOKUP(E45,'Base Indicadores 1'!$B$7:$AM$85,12,0)</f>
        <v>251</v>
      </c>
      <c r="J45" s="694">
        <f>+VLOOKUP(E45,'Base Indicadores 1'!$B$7:$AM$85,11,0)</f>
        <v>311</v>
      </c>
      <c r="K45" s="686">
        <f>+VLOOKUP(E45,'Base Indicadores 1'!$B$7:$AM$85,32,0)</f>
        <v>242</v>
      </c>
      <c r="L45" s="683">
        <f>+VLOOKUP(E45,'Base Indicadores 1'!$B$7:$AM$85,35,0)</f>
        <v>0.77813504823151125</v>
      </c>
      <c r="M45" s="684" t="str">
        <f>VLOOKUP(E45,'Base Indicadores 1'!$B$7:$AM$85,36,0)</f>
        <v>Dato a diciembre 2017</v>
      </c>
      <c r="N45" s="689" t="s">
        <v>348</v>
      </c>
      <c r="O45" s="772">
        <f t="shared" si="0"/>
        <v>0.77813504823151125</v>
      </c>
    </row>
    <row r="46" spans="1:15" ht="42.75" customHeight="1" x14ac:dyDescent="0.25">
      <c r="A46" s="483">
        <v>28</v>
      </c>
      <c r="C46" s="814"/>
      <c r="D46" s="756">
        <v>5013</v>
      </c>
      <c r="E46" s="680" t="s">
        <v>18</v>
      </c>
      <c r="F46" s="756" t="str">
        <f>+VLOOKUP(E46,'Base Indicadores 1'!$B$7:$AM$85,10,0)</f>
        <v>Sedes educativas</v>
      </c>
      <c r="G46" s="756" t="str">
        <f>+VLOOKUP(E46,'Base Indicadores 1'!$B$7:$AL$85,8,0)</f>
        <v>Anual</v>
      </c>
      <c r="H46" s="681" t="str">
        <f>+VLOOKUP(E46,'Base Indicadores 1'!$B$7:$AL$85,9,0)</f>
        <v>Flujo</v>
      </c>
      <c r="I46" s="686">
        <f>+VLOOKUP(E46,'Base Indicadores 1'!$B$7:$AM$85,12,0)</f>
        <v>5515</v>
      </c>
      <c r="J46" s="694">
        <f>+VLOOKUP(E46,'Base Indicadores 1'!$B$7:$AM$85,11,0)</f>
        <v>5915</v>
      </c>
      <c r="K46" s="686">
        <f>+VLOOKUP(E46,'Base Indicadores 1'!$B$7:$AM$85,32,0)</f>
        <v>5654</v>
      </c>
      <c r="L46" s="683">
        <f>+VLOOKUP(E46,'Base Indicadores 1'!$B$7:$AM$85,35,0)</f>
        <v>0.9558748943364328</v>
      </c>
      <c r="M46" s="684" t="str">
        <f>VLOOKUP(E46,'Base Indicadores 1'!$B$7:$AM$85,36,0)</f>
        <v>Dato a diciembre 2017</v>
      </c>
      <c r="N46" s="689"/>
      <c r="O46" s="772">
        <f t="shared" si="0"/>
        <v>0.9558748943364328</v>
      </c>
    </row>
    <row r="47" spans="1:15" ht="24" customHeight="1" x14ac:dyDescent="0.25">
      <c r="A47" s="483">
        <v>29</v>
      </c>
      <c r="C47" s="814"/>
      <c r="D47" s="756">
        <v>4500</v>
      </c>
      <c r="E47" s="680" t="s">
        <v>2</v>
      </c>
      <c r="F47" s="756" t="str">
        <f>+VLOOKUP(E47,'Base Indicadores 1'!$B$7:$AM$85,10,0)</f>
        <v>Tasa</v>
      </c>
      <c r="G47" s="756" t="str">
        <f>+VLOOKUP(E47,'Base Indicadores 1'!$B$7:$AL$85,8,0)</f>
        <v>Anual</v>
      </c>
      <c r="H47" s="681" t="str">
        <f>+VLOOKUP(E47,'Base Indicadores 1'!$B$7:$AL$85,9,0)</f>
        <v>Capacidad</v>
      </c>
      <c r="I47" s="682">
        <f>+VLOOKUP(E47,'Base Indicadores 1'!$B$7:$AM$85,12,0)</f>
        <v>0.77300000000000002</v>
      </c>
      <c r="J47" s="685">
        <f>+VLOOKUP(E47,'Base Indicadores 1'!$B$7:$AM$85,11,0)</f>
        <v>0.83</v>
      </c>
      <c r="K47" s="682">
        <f>+VLOOKUP(E47,'Base Indicadores 1'!$B$7:$AM$85,32,0)</f>
        <v>0.80110000000000003</v>
      </c>
      <c r="L47" s="683">
        <f>+VLOOKUP(E47,'Base Indicadores 1'!$B$7:$AM$85,35,0)</f>
        <v>0.49298245614035163</v>
      </c>
      <c r="M47" s="684" t="str">
        <f>VLOOKUP(E47,'Base Indicadores 1'!$B$7:$AM$85,36,0)</f>
        <v>Dato a diciembre 2017</v>
      </c>
      <c r="N47" s="689" t="s">
        <v>348</v>
      </c>
      <c r="O47" s="772">
        <f t="shared" si="0"/>
        <v>0.49298245614035163</v>
      </c>
    </row>
    <row r="48" spans="1:15" ht="47.25" customHeight="1" x14ac:dyDescent="0.25">
      <c r="A48" s="483">
        <v>30</v>
      </c>
      <c r="C48" s="814"/>
      <c r="D48" s="756">
        <v>4443</v>
      </c>
      <c r="E48" s="680" t="s">
        <v>156</v>
      </c>
      <c r="F48" s="756" t="str">
        <f>+VLOOKUP(E48,'Base Indicadores 1'!$B$7:$AM$85,10,0)</f>
        <v>Tasa</v>
      </c>
      <c r="G48" s="756" t="str">
        <f>+VLOOKUP(E48,'Base Indicadores 1'!$B$7:$AL$85,8,0)</f>
        <v>Anual</v>
      </c>
      <c r="H48" s="681" t="str">
        <f>+VLOOKUP(E48,'Base Indicadores 1'!$B$7:$AL$85,9,0)</f>
        <v>Capacidad</v>
      </c>
      <c r="I48" s="682">
        <f>+VLOOKUP(E48,'Base Indicadores 1'!$B$7:$AM$85,12,0)</f>
        <v>0.621</v>
      </c>
      <c r="J48" s="685">
        <f>+VLOOKUP(E48,'Base Indicadores 1'!$B$7:$AM$85,11,0)</f>
        <v>0.69</v>
      </c>
      <c r="K48" s="682">
        <f>+VLOOKUP(E48,'Base Indicadores 1'!$B$7:$AM$85,32,0)</f>
        <v>0.66759999999999997</v>
      </c>
      <c r="L48" s="683">
        <f>+VLOOKUP(E48,'Base Indicadores 1'!$B$7:$AM$85,35,0)</f>
        <v>0.67536231884057984</v>
      </c>
      <c r="M48" s="684" t="str">
        <f>VLOOKUP(E48,'Base Indicadores 1'!$B$7:$AM$85,36,0)</f>
        <v>Dato a diciembre 2017
Dato a 2018 sale en junio 19</v>
      </c>
      <c r="N48" s="689" t="s">
        <v>348</v>
      </c>
      <c r="O48" s="772">
        <f t="shared" si="0"/>
        <v>0.67536231884057984</v>
      </c>
    </row>
    <row r="49" spans="1:15" ht="24" customHeight="1" x14ac:dyDescent="0.25">
      <c r="A49" s="483">
        <v>31</v>
      </c>
      <c r="C49" s="814"/>
      <c r="D49" s="756">
        <v>5014</v>
      </c>
      <c r="E49" s="680" t="s">
        <v>13</v>
      </c>
      <c r="F49" s="756" t="str">
        <f>+VLOOKUP(E49,'Base Indicadores 1'!$B$7:$AM$85,10,0)</f>
        <v>Tasa</v>
      </c>
      <c r="G49" s="756" t="str">
        <f>+VLOOKUP(E49,'Base Indicadores 1'!$B$7:$AL$85,8,0)</f>
        <v>Anual</v>
      </c>
      <c r="H49" s="681" t="str">
        <f>+VLOOKUP(E49,'Base Indicadores 1'!$B$7:$AL$85,9,0)</f>
        <v>Capacidad</v>
      </c>
      <c r="I49" s="682">
        <f>+VLOOKUP(E49,'Base Indicadores 1'!$B$7:$AM$85,12,0)</f>
        <v>0.73</v>
      </c>
      <c r="J49" s="685">
        <f>+VLOOKUP(E49,'Base Indicadores 1'!$B$7:$AM$85,11,0)</f>
        <v>0.84330000000000005</v>
      </c>
      <c r="K49" s="682">
        <f>+VLOOKUP(E49,'Base Indicadores 1'!$B$7:$AM$85,32,0)</f>
        <v>0.75449999999999995</v>
      </c>
      <c r="L49" s="683">
        <f>+VLOOKUP(E49,'Base Indicadores 1'!$B$7:$AM$85,35,0)</f>
        <v>0.21624007060900222</v>
      </c>
      <c r="M49" s="684" t="str">
        <f>VLOOKUP(E49,'Base Indicadores 1'!$B$7:$AM$85,36,0)</f>
        <v>Dato a diciembre 2017</v>
      </c>
      <c r="N49" s="689" t="s">
        <v>348</v>
      </c>
      <c r="O49" s="772">
        <f t="shared" si="0"/>
        <v>0.21624007060900222</v>
      </c>
    </row>
    <row r="50" spans="1:15" ht="15" x14ac:dyDescent="0.25">
      <c r="A50" s="483">
        <v>32</v>
      </c>
      <c r="C50" s="814"/>
      <c r="D50" s="756">
        <v>5011</v>
      </c>
      <c r="E50" s="680" t="s">
        <v>16</v>
      </c>
      <c r="F50" s="756" t="str">
        <f>+VLOOKUP(E50,'Base Indicadores 1'!$B$7:$AM$85,10,0)</f>
        <v>Tasa</v>
      </c>
      <c r="G50" s="756" t="str">
        <f>+VLOOKUP(E50,'Base Indicadores 1'!$B$7:$AL$85,8,0)</f>
        <v>Anual</v>
      </c>
      <c r="H50" s="681" t="str">
        <f>+VLOOKUP(E50,'Base Indicadores 1'!$B$7:$AL$85,9,0)</f>
        <v>Flujo</v>
      </c>
      <c r="I50" s="682">
        <f>+VLOOKUP(E50,'Base Indicadores 1'!$B$7:$AM$85,12,0)</f>
        <v>0.73309999999999997</v>
      </c>
      <c r="J50" s="685">
        <f>+VLOOKUP(E50,'Base Indicadores 1'!$B$7:$AM$85,11,0)</f>
        <v>0.78320000000000001</v>
      </c>
      <c r="K50" s="682">
        <f>+VLOOKUP(E50,'Base Indicadores 1'!$B$7:$AM$85,32,0)</f>
        <v>0.73160000000000003</v>
      </c>
      <c r="L50" s="683">
        <f>+VLOOKUP(E50,'Base Indicadores 1'!$B$7:$AM$85,35,0)</f>
        <v>0.93411644535240046</v>
      </c>
      <c r="M50" s="684" t="str">
        <f>VLOOKUP(E50,'Base Indicadores 1'!$B$7:$AM$85,36,0)</f>
        <v>Dato a diciembre 2017</v>
      </c>
      <c r="N50" s="689"/>
      <c r="O50" s="772">
        <f t="shared" si="0"/>
        <v>0.93411644535240046</v>
      </c>
    </row>
    <row r="51" spans="1:15" ht="24" customHeight="1" x14ac:dyDescent="0.25">
      <c r="A51" s="483">
        <v>33</v>
      </c>
      <c r="C51" s="814"/>
      <c r="D51" s="756">
        <v>4998</v>
      </c>
      <c r="E51" s="680" t="s">
        <v>23</v>
      </c>
      <c r="F51" s="756" t="str">
        <f>+VLOOKUP(E51,'Base Indicadores 1'!$B$7:$AM$85,10,0)</f>
        <v>Tasa</v>
      </c>
      <c r="G51" s="756" t="str">
        <f>+VLOOKUP(E51,'Base Indicadores 1'!$B$7:$AL$85,8,0)</f>
        <v>Anual</v>
      </c>
      <c r="H51" s="681" t="str">
        <f>+VLOOKUP(E51,'Base Indicadores 1'!$B$7:$AL$85,9,0)</f>
        <v>Capacidad</v>
      </c>
      <c r="I51" s="682">
        <f>+VLOOKUP(E51,'Base Indicadores 1'!$B$7:$AM$85,12,0)</f>
        <v>0.72760000000000002</v>
      </c>
      <c r="J51" s="685">
        <f>+VLOOKUP(E51,'Base Indicadores 1'!$B$7:$AM$85,11,0)</f>
        <v>0.77090000000000003</v>
      </c>
      <c r="K51" s="682">
        <f>+VLOOKUP(E51,'Base Indicadores 1'!$B$7:$AM$85,32,0)</f>
        <v>0.7772</v>
      </c>
      <c r="L51" s="683">
        <f>+VLOOKUP(E51,'Base Indicadores 1'!$B$7:$AM$85,35,0)</f>
        <v>1.1454965357967661</v>
      </c>
      <c r="M51" s="684" t="str">
        <f>VLOOKUP(E51,'Base Indicadores 1'!$B$7:$AM$85,36,0)</f>
        <v>Dato a diciembre 2017
Dato a 2018 sale en mayo 19</v>
      </c>
      <c r="N51" s="689" t="s">
        <v>347</v>
      </c>
      <c r="O51" s="772">
        <f t="shared" si="0"/>
        <v>1</v>
      </c>
    </row>
    <row r="52" spans="1:15" ht="24" customHeight="1" x14ac:dyDescent="0.25">
      <c r="A52" s="483">
        <v>34</v>
      </c>
      <c r="C52" s="814"/>
      <c r="D52" s="756">
        <v>5017</v>
      </c>
      <c r="E52" s="680" t="s">
        <v>12</v>
      </c>
      <c r="F52" s="756" t="str">
        <f>+VLOOKUP(E52,'Base Indicadores 1'!$B$7:$AM$85,10,0)</f>
        <v>Tasa</v>
      </c>
      <c r="G52" s="756" t="str">
        <f>+VLOOKUP(E52,'Base Indicadores 1'!$B$7:$AL$85,8,0)</f>
        <v>Anual</v>
      </c>
      <c r="H52" s="681" t="str">
        <f>+VLOOKUP(E52,'Base Indicadores 1'!$B$7:$AL$85,9,0)</f>
        <v>Capacidad</v>
      </c>
      <c r="I52" s="682">
        <f>+VLOOKUP(E52,'Base Indicadores 1'!$B$7:$AM$85,12,0)</f>
        <v>0.7147</v>
      </c>
      <c r="J52" s="685">
        <f>+VLOOKUP(E52,'Base Indicadores 1'!$B$7:$AM$85,11,0)</f>
        <v>0.75670000000000004</v>
      </c>
      <c r="K52" s="682">
        <f>+VLOOKUP(E52,'Base Indicadores 1'!$B$7:$AM$85,32,0)</f>
        <v>0.76570000000000005</v>
      </c>
      <c r="L52" s="683">
        <f>+VLOOKUP(E52,'Base Indicadores 1'!$B$7:$AM$85,35,0)</f>
        <v>1.2142857142857142</v>
      </c>
      <c r="M52" s="684" t="str">
        <f>VLOOKUP(E52,'Base Indicadores 1'!$B$7:$AM$85,36,0)</f>
        <v>Dato a diciembre 2017</v>
      </c>
      <c r="N52" s="689" t="s">
        <v>347</v>
      </c>
      <c r="O52" s="772">
        <f t="shared" si="0"/>
        <v>1</v>
      </c>
    </row>
    <row r="53" spans="1:15" ht="30" x14ac:dyDescent="0.25">
      <c r="A53" s="483">
        <v>35</v>
      </c>
      <c r="C53" s="814"/>
      <c r="D53" s="756">
        <v>5006</v>
      </c>
      <c r="E53" s="680" t="s">
        <v>19</v>
      </c>
      <c r="F53" s="756" t="str">
        <f>+VLOOKUP(E53,'Base Indicadores 1'!$B$7:$AM$85,10,0)</f>
        <v>Tasa</v>
      </c>
      <c r="G53" s="756" t="str">
        <f>+VLOOKUP(E53,'Base Indicadores 1'!$B$7:$AL$85,8,0)</f>
        <v>Anual</v>
      </c>
      <c r="H53" s="681" t="str">
        <f>+VLOOKUP(E53,'Base Indicadores 1'!$B$7:$AL$85,9,0)</f>
        <v>Flujo</v>
      </c>
      <c r="I53" s="682">
        <f>+VLOOKUP(E53,'Base Indicadores 1'!$B$7:$AM$85,12,0)</f>
        <v>0.83819999999999995</v>
      </c>
      <c r="J53" s="685">
        <f>+VLOOKUP(E53,'Base Indicadores 1'!$B$7:$AM$85,11,0)</f>
        <v>0.91039999999999999</v>
      </c>
      <c r="K53" s="682">
        <f>+VLOOKUP(E53,'Base Indicadores 1'!$B$7:$AM$85,32,0)</f>
        <v>0.82850000000000001</v>
      </c>
      <c r="L53" s="683">
        <f>+VLOOKUP(E53,'Base Indicadores 1'!$B$7:$AM$85,35,0)</f>
        <v>0.9100395430579965</v>
      </c>
      <c r="M53" s="684" t="str">
        <f>VLOOKUP(E53,'Base Indicadores 1'!$B$7:$AM$85,36,0)</f>
        <v>Dato a diciembre 2017</v>
      </c>
      <c r="N53" s="692"/>
      <c r="O53" s="772">
        <f t="shared" si="0"/>
        <v>0.9100395430579965</v>
      </c>
    </row>
    <row r="54" spans="1:15" ht="70.5" customHeight="1" x14ac:dyDescent="0.25">
      <c r="A54" s="483">
        <v>36</v>
      </c>
      <c r="C54" s="814"/>
      <c r="D54" s="756">
        <v>5002</v>
      </c>
      <c r="E54" s="680" t="s">
        <v>28</v>
      </c>
      <c r="F54" s="756" t="str">
        <f>+VLOOKUP(E54,'Base Indicadores 1'!$B$7:$AM$85,10,0)</f>
        <v>Tasa</v>
      </c>
      <c r="G54" s="756" t="str">
        <f>+VLOOKUP(E54,'Base Indicadores 1'!$B$7:$AL$85,8,0)</f>
        <v>Anual</v>
      </c>
      <c r="H54" s="681" t="str">
        <f>+VLOOKUP(E54,'Base Indicadores 1'!$B$7:$AL$85,9,0)</f>
        <v>Flujo</v>
      </c>
      <c r="I54" s="682">
        <f>+VLOOKUP(E54,'Base Indicadores 1'!$B$7:$AM$85,12,0)</f>
        <v>0.57479999999999998</v>
      </c>
      <c r="J54" s="685">
        <f>+VLOOKUP(E54,'Base Indicadores 1'!$B$7:$AM$85,11,0)</f>
        <v>0.57789999999999997</v>
      </c>
      <c r="K54" s="682">
        <f>+VLOOKUP(E54,'Base Indicadores 1'!$B$7:$AM$85,32,0)</f>
        <v>0.55569999999999997</v>
      </c>
      <c r="L54" s="683">
        <f>+VLOOKUP(E54,'Base Indicadores 1'!$B$7:$AM$85,35,0)</f>
        <v>0.96158504931649069</v>
      </c>
      <c r="M54" s="684" t="str">
        <f>VLOOKUP(E54,'Base Indicadores 1'!$B$7:$AM$85,36,0)</f>
        <v>Dato a diciembre 2017
Dato a 2018 sale en mayo 19</v>
      </c>
      <c r="N54" s="689"/>
      <c r="O54" s="772">
        <f t="shared" si="0"/>
        <v>0.96158504931649069</v>
      </c>
    </row>
    <row r="55" spans="1:15" ht="30" x14ac:dyDescent="0.25">
      <c r="A55" s="483">
        <v>37</v>
      </c>
      <c r="C55" s="814"/>
      <c r="D55" s="756">
        <v>4442</v>
      </c>
      <c r="E55" s="680" t="s">
        <v>5</v>
      </c>
      <c r="F55" s="756" t="str">
        <f>+VLOOKUP(E55,'Base Indicadores 1'!$B$7:$AM$85,10,0)</f>
        <v>Porcentaje</v>
      </c>
      <c r="G55" s="756" t="str">
        <f>+VLOOKUP(E55,'Base Indicadores 1'!$B$7:$AL$85,8,0)</f>
        <v>Anual</v>
      </c>
      <c r="H55" s="681" t="str">
        <f>+VLOOKUP(E55,'Base Indicadores 1'!$B$7:$AL$85,9,0)</f>
        <v>Reducción</v>
      </c>
      <c r="I55" s="682">
        <f>+VLOOKUP(E55,'Base Indicadores 1'!$B$7:$AM$85,12,0)</f>
        <v>3.1E-2</v>
      </c>
      <c r="J55" s="685">
        <f>+VLOOKUP(E55,'Base Indicadores 1'!$B$7:$AM$85,11,0)</f>
        <v>2.5000000000000001E-2</v>
      </c>
      <c r="K55" s="682">
        <f>+VLOOKUP(E55,'Base Indicadores 1'!$B$7:$AM$85,32,0)</f>
        <v>3.0800000000000001E-2</v>
      </c>
      <c r="L55" s="683">
        <f>+VLOOKUP(E55,'Base Indicadores 1'!$B$7:$AM$85,35,0)</f>
        <v>3.3333333333333139E-2</v>
      </c>
      <c r="M55" s="684" t="str">
        <f>VLOOKUP(E55,'Base Indicadores 1'!$B$7:$AM$85,36,0)</f>
        <v>Dato a diciembre 2017
Dato a 2018 sale en junio 19</v>
      </c>
      <c r="N55" s="689" t="s">
        <v>348</v>
      </c>
      <c r="O55" s="772">
        <f t="shared" si="0"/>
        <v>3.3333333333333139E-2</v>
      </c>
    </row>
    <row r="56" spans="1:15" ht="24" customHeight="1" x14ac:dyDescent="0.25">
      <c r="A56" s="483">
        <v>38</v>
      </c>
      <c r="C56" s="814"/>
      <c r="D56" s="756">
        <v>4439</v>
      </c>
      <c r="E56" s="680" t="s">
        <v>3</v>
      </c>
      <c r="F56" s="756" t="str">
        <f>+VLOOKUP(E56,'Base Indicadores 1'!$B$7:$AM$85,10,0)</f>
        <v>Tasa</v>
      </c>
      <c r="G56" s="756" t="str">
        <f>+VLOOKUP(E56,'Base Indicadores 1'!$B$7:$AL$85,8,0)</f>
        <v>Anual</v>
      </c>
      <c r="H56" s="681" t="str">
        <f>+VLOOKUP(E56,'Base Indicadores 1'!$B$7:$AL$85,9,0)</f>
        <v>Capacidad</v>
      </c>
      <c r="I56" s="682">
        <f>+VLOOKUP(E56,'Base Indicadores 1'!$B$7:$AM$85,12,0)</f>
        <v>0.372</v>
      </c>
      <c r="J56" s="685">
        <f>+VLOOKUP(E56,'Base Indicadores 1'!$B$7:$AM$85,11,0)</f>
        <v>0.45</v>
      </c>
      <c r="K56" s="682">
        <f>+VLOOKUP(E56,'Base Indicadores 1'!$B$7:$AM$85,32,0)</f>
        <v>0.45700000000000002</v>
      </c>
      <c r="L56" s="683">
        <f>+VLOOKUP(E56,'Base Indicadores 1'!$B$7:$AM$85,35,0)</f>
        <v>1.0897435897435899</v>
      </c>
      <c r="M56" s="684" t="str">
        <f>VLOOKUP(E56,'Base Indicadores 1'!$B$7:$AM$85,36,0)</f>
        <v>Dato a diciembre 2016
Pendiente dato 2017 (enero 19)</v>
      </c>
      <c r="N56" s="689" t="s">
        <v>347</v>
      </c>
      <c r="O56" s="772">
        <f t="shared" si="0"/>
        <v>1</v>
      </c>
    </row>
    <row r="57" spans="1:15" ht="36.75" customHeight="1" x14ac:dyDescent="0.25">
      <c r="A57" s="483">
        <v>39</v>
      </c>
      <c r="C57" s="814"/>
      <c r="D57" s="756">
        <v>5009</v>
      </c>
      <c r="E57" s="680" t="s">
        <v>21</v>
      </c>
      <c r="F57" s="756" t="str">
        <f>+VLOOKUP(E57,'Base Indicadores 1'!$B$7:$AM$85,10,0)</f>
        <v>Tasa</v>
      </c>
      <c r="G57" s="756" t="str">
        <f>+VLOOKUP(E57,'Base Indicadores 1'!$B$7:$AL$85,8,0)</f>
        <v>Anual</v>
      </c>
      <c r="H57" s="681" t="str">
        <f>+VLOOKUP(E57,'Base Indicadores 1'!$B$7:$AL$85,9,0)</f>
        <v>Capacidad</v>
      </c>
      <c r="I57" s="682">
        <f>+VLOOKUP(E57,'Base Indicadores 1'!$B$7:$AM$85,12,0)</f>
        <v>0.16930000000000001</v>
      </c>
      <c r="J57" s="685">
        <f>+VLOOKUP(E57,'Base Indicadores 1'!$B$7:$AM$85,11,0)</f>
        <v>0.189</v>
      </c>
      <c r="K57" s="682">
        <f>+VLOOKUP(E57,'Base Indicadores 1'!$B$7:$AM$85,32,0)</f>
        <v>0.30599999999999999</v>
      </c>
      <c r="L57" s="683">
        <f>+VLOOKUP(E57,'Base Indicadores 1'!$B$7:$AM$85,35,0)</f>
        <v>6.9390862944162448</v>
      </c>
      <c r="M57" s="684" t="str">
        <f>VLOOKUP(E57,'Base Indicadores 1'!$B$7:$AM$85,36,0)</f>
        <v>Dato a diciembre 2016</v>
      </c>
      <c r="N57" s="689" t="s">
        <v>347</v>
      </c>
      <c r="O57" s="772">
        <f t="shared" si="0"/>
        <v>1</v>
      </c>
    </row>
    <row r="58" spans="1:15" ht="43.5" customHeight="1" x14ac:dyDescent="0.25">
      <c r="A58" s="483">
        <v>40</v>
      </c>
      <c r="C58" s="814" t="s">
        <v>349</v>
      </c>
      <c r="D58" s="756">
        <v>5008</v>
      </c>
      <c r="E58" s="680" t="s">
        <v>20</v>
      </c>
      <c r="F58" s="756" t="str">
        <f>+VLOOKUP(E58,'Base Indicadores 1'!$B$7:$AM$85,10,0)</f>
        <v>Sedes educativas</v>
      </c>
      <c r="G58" s="756" t="str">
        <f>+VLOOKUP(E58,'Base Indicadores 1'!$B$7:$AL$85,8,0)</f>
        <v>Anual</v>
      </c>
      <c r="H58" s="681" t="str">
        <f>+VLOOKUP(E58,'Base Indicadores 1'!$B$7:$AL$85,9,0)</f>
        <v>Capacidad</v>
      </c>
      <c r="I58" s="688">
        <f>+VLOOKUP(E58,'Base Indicadores 1'!$B$7:$AM$85,12,0)</f>
        <v>0</v>
      </c>
      <c r="J58" s="694">
        <f>+VLOOKUP(E58,'Base Indicadores 1'!$B$7:$AM$85,11,0)</f>
        <v>100</v>
      </c>
      <c r="K58" s="686">
        <f>+VLOOKUP(E58,'Base Indicadores 1'!$B$7:$AM$85,32,0)</f>
        <v>144</v>
      </c>
      <c r="L58" s="683">
        <f>+VLOOKUP(E58,'Base Indicadores 1'!$B$7:$AM$85,35,0)</f>
        <v>1.44</v>
      </c>
      <c r="M58" s="684" t="str">
        <f>VLOOKUP(E58,'Base Indicadores 1'!$B$7:$AM$85,36,0)</f>
        <v>Dato a diciembre 2017</v>
      </c>
      <c r="N58" s="689" t="s">
        <v>347</v>
      </c>
      <c r="O58" s="772">
        <f t="shared" si="0"/>
        <v>1</v>
      </c>
    </row>
    <row r="59" spans="1:15" ht="52.5" customHeight="1" x14ac:dyDescent="0.25">
      <c r="A59" s="483">
        <v>41</v>
      </c>
      <c r="C59" s="814"/>
      <c r="D59" s="756">
        <v>4444</v>
      </c>
      <c r="E59" s="680" t="s">
        <v>7</v>
      </c>
      <c r="F59" s="756" t="str">
        <f>+VLOOKUP(E59,'Base Indicadores 1'!$B$7:$AM$85,10,0)</f>
        <v>Sedes rurales</v>
      </c>
      <c r="G59" s="756" t="str">
        <f>+VLOOKUP(E59,'Base Indicadores 1'!$B$7:$AL$85,8,0)</f>
        <v>Anual</v>
      </c>
      <c r="H59" s="681" t="str">
        <f>+VLOOKUP(E59,'Base Indicadores 1'!$B$7:$AL$85,9,0)</f>
        <v>Acumulado</v>
      </c>
      <c r="I59" s="686">
        <f>+VLOOKUP(E59,'Base Indicadores 1'!$B$7:$AM$85,12,0)</f>
        <v>168</v>
      </c>
      <c r="J59" s="694">
        <f>+VLOOKUP(E59,'Base Indicadores 1'!$B$7:$AM$85,11,0)</f>
        <v>1000</v>
      </c>
      <c r="K59" s="686">
        <f>+VLOOKUP(E59,'Base Indicadores 1'!$B$7:$AM$85,32,0)</f>
        <v>990</v>
      </c>
      <c r="L59" s="683">
        <f>+VLOOKUP(E59,'Base Indicadores 1'!$B$7:$AM$85,35,0)</f>
        <v>0.99</v>
      </c>
      <c r="M59" s="684" t="str">
        <f>VLOOKUP(E59,'Base Indicadores 1'!$B$7:$AM$85,36,0)</f>
        <v>Dato a diciembre 2018</v>
      </c>
      <c r="N59" s="689" t="s">
        <v>348</v>
      </c>
      <c r="O59" s="772">
        <f t="shared" si="0"/>
        <v>0.99</v>
      </c>
    </row>
    <row r="60" spans="1:15" ht="42" customHeight="1" x14ac:dyDescent="0.25">
      <c r="A60" s="483">
        <v>42</v>
      </c>
      <c r="C60" s="814"/>
      <c r="D60" s="756">
        <v>5157</v>
      </c>
      <c r="E60" s="680" t="s">
        <v>27</v>
      </c>
      <c r="F60" s="756" t="str">
        <f>+VLOOKUP(E60,'Base Indicadores 1'!$B$7:$AM$85,10,0)</f>
        <v>Aulas</v>
      </c>
      <c r="G60" s="756" t="str">
        <f>+VLOOKUP(E60,'Base Indicadores 1'!$B$7:$AL$85,8,0)</f>
        <v>Trimestral</v>
      </c>
      <c r="H60" s="681" t="str">
        <f>+VLOOKUP(E60,'Base Indicadores 1'!$B$7:$AL$85,9,0)</f>
        <v>Capacidad</v>
      </c>
      <c r="I60" s="688">
        <f>+VLOOKUP(E60,'Base Indicadores 1'!$B$7:$AM$85,12,0)</f>
        <v>0</v>
      </c>
      <c r="J60" s="694">
        <f>+VLOOKUP(E60,'Base Indicadores 1'!$B$7:$AM$85,11,0)</f>
        <v>30693</v>
      </c>
      <c r="K60" s="686">
        <f>+VLOOKUP(E60,'Base Indicadores 1'!$B$7:$AM$85,32,0)</f>
        <v>26661</v>
      </c>
      <c r="L60" s="683">
        <f>+VLOOKUP(E60,'Base Indicadores 1'!$B$7:$AM$85,35,0)</f>
        <v>0.86863454207799828</v>
      </c>
      <c r="M60" s="684" t="str">
        <f>VLOOKUP(E60,'Base Indicadores 1'!$B$7:$AM$85,36,0)</f>
        <v xml:space="preserve">Dato a diciembre:26.661
</v>
      </c>
      <c r="N60" s="689"/>
      <c r="O60" s="772">
        <f t="shared" si="0"/>
        <v>0.86863454207799828</v>
      </c>
    </row>
    <row r="61" spans="1:15" ht="60" x14ac:dyDescent="0.25">
      <c r="A61" s="483">
        <v>43</v>
      </c>
      <c r="C61" s="814" t="s">
        <v>350</v>
      </c>
      <c r="D61" s="756">
        <v>5467</v>
      </c>
      <c r="E61" s="680" t="s">
        <v>78</v>
      </c>
      <c r="F61" s="756" t="str">
        <f>+VLOOKUP(E61,'Base Indicadores 1'!$B$7:$AM$85,10,0)</f>
        <v>Porcentaje</v>
      </c>
      <c r="G61" s="756" t="str">
        <f>+VLOOKUP(E61,'Base Indicadores 1'!$B$7:$AL$85,8,0)</f>
        <v>Anual</v>
      </c>
      <c r="H61" s="681" t="str">
        <f>+VLOOKUP(E61,'Base Indicadores 1'!$B$7:$AL$85,9,0)</f>
        <v>Acumulado</v>
      </c>
      <c r="I61" s="682" t="str">
        <f>+VLOOKUP(E61,'Base Indicadores 1'!$B$7:$AM$85,12,0)</f>
        <v>SIN DATO</v>
      </c>
      <c r="J61" s="685">
        <f>+VLOOKUP(E61,'Base Indicadores 1'!$B$7:$AM$85,11,0)</f>
        <v>1</v>
      </c>
      <c r="K61" s="682">
        <f>+VLOOKUP(E61,'Base Indicadores 1'!$B$7:$AM$85,32,0)</f>
        <v>1</v>
      </c>
      <c r="L61" s="683">
        <f>+VLOOKUP(E61,'Base Indicadores 1'!$B$7:$AM$85,35,0)</f>
        <v>1</v>
      </c>
      <c r="M61" s="684" t="str">
        <f>VLOOKUP(E61,'Base Indicadores 1'!$B$7:$AM$85,36,0)</f>
        <v>Dato a diciembre 2017</v>
      </c>
      <c r="N61" s="689" t="s">
        <v>347</v>
      </c>
      <c r="O61" s="772">
        <f t="shared" si="0"/>
        <v>1</v>
      </c>
    </row>
    <row r="62" spans="1:15" ht="30" x14ac:dyDescent="0.25">
      <c r="A62" s="483">
        <v>44</v>
      </c>
      <c r="C62" s="814"/>
      <c r="D62" s="756">
        <v>4465</v>
      </c>
      <c r="E62" s="680" t="s">
        <v>10</v>
      </c>
      <c r="F62" s="756" t="str">
        <f>+VLOOKUP(E62,'Base Indicadores 1'!$B$7:$AM$85,10,0)</f>
        <v>Tasa</v>
      </c>
      <c r="G62" s="756" t="str">
        <f>+VLOOKUP(E62,'Base Indicadores 1'!$B$7:$AL$85,8,0)</f>
        <v>Anual</v>
      </c>
      <c r="H62" s="681" t="str">
        <f>+VLOOKUP(E62,'Base Indicadores 1'!$B$7:$AL$85,9,0)</f>
        <v>Reducción</v>
      </c>
      <c r="I62" s="682">
        <f>+VLOOKUP(E62,'Base Indicadores 1'!$B$7:$AM$85,12,0)</f>
        <v>5.8099999999999999E-2</v>
      </c>
      <c r="J62" s="685">
        <f>+VLOOKUP(E62,'Base Indicadores 1'!$B$7:$AM$85,11,0)</f>
        <v>5.1700000000000003E-2</v>
      </c>
      <c r="K62" s="682">
        <f>+VLOOKUP(E62,'Base Indicadores 1'!$B$7:$AM$85,32,0)</f>
        <v>5.2400000000000002E-2</v>
      </c>
      <c r="L62" s="683">
        <f>+VLOOKUP(E62,'Base Indicadores 1'!$B$7:$AM$85,35,0)</f>
        <v>0.890625</v>
      </c>
      <c r="M62" s="684" t="str">
        <f>VLOOKUP(E62,'Base Indicadores 1'!$B$7:$AM$85,36,0)</f>
        <v>Dato a diciembre 2017
Dato a 2018 sale en junio 19</v>
      </c>
      <c r="N62" s="689"/>
      <c r="O62" s="772">
        <f t="shared" si="0"/>
        <v>0.890625</v>
      </c>
    </row>
    <row r="63" spans="1:15" ht="54" customHeight="1" x14ac:dyDescent="0.25">
      <c r="A63" s="483">
        <v>45</v>
      </c>
      <c r="C63" s="814"/>
      <c r="D63" s="756">
        <v>5422</v>
      </c>
      <c r="E63" s="680" t="s">
        <v>79</v>
      </c>
      <c r="F63" s="756" t="str">
        <f>+VLOOKUP(E63,'Base Indicadores 1'!$B$7:$AM$85,10,0)</f>
        <v>Porcentaje</v>
      </c>
      <c r="G63" s="756" t="str">
        <f>+VLOOKUP(E63,'Base Indicadores 1'!$B$7:$AL$85,8,0)</f>
        <v>Semestral</v>
      </c>
      <c r="H63" s="681" t="str">
        <f>+VLOOKUP(E63,'Base Indicadores 1'!$B$7:$AL$85,9,0)</f>
        <v>Capacidad</v>
      </c>
      <c r="I63" s="682">
        <f>+VLOOKUP(E63,'Base Indicadores 1'!$B$7:$AM$85,12,0)</f>
        <v>0.72</v>
      </c>
      <c r="J63" s="685">
        <f>+VLOOKUP(E63,'Base Indicadores 1'!$B$7:$AM$85,11,0)</f>
        <v>0.84</v>
      </c>
      <c r="K63" s="682">
        <f>+VLOOKUP(E63,'Base Indicadores 1'!$B$7:$AM$85,32,0)</f>
        <v>0.82589999999999997</v>
      </c>
      <c r="L63" s="683">
        <f>+VLOOKUP(E63,'Base Indicadores 1'!$B$7:$AM$85,35,0)</f>
        <v>0.88249999999999995</v>
      </c>
      <c r="M63" s="684" t="str">
        <f>VLOOKUP(E63,'Base Indicadores 1'!$B$7:$AM$85,36,0)</f>
        <v>Dato a diciembre 2016</v>
      </c>
      <c r="N63" s="689"/>
      <c r="O63" s="772">
        <f t="shared" si="0"/>
        <v>0.88249999999999995</v>
      </c>
    </row>
    <row r="64" spans="1:15" ht="30" x14ac:dyDescent="0.25">
      <c r="A64" s="483">
        <v>46</v>
      </c>
      <c r="C64" s="814"/>
      <c r="D64" s="756">
        <v>4466</v>
      </c>
      <c r="E64" s="680" t="s">
        <v>11</v>
      </c>
      <c r="F64" s="756" t="str">
        <f>+VLOOKUP(E64,'Base Indicadores 1'!$B$7:$AM$85,10,0)</f>
        <v>Jovenes y adultos</v>
      </c>
      <c r="G64" s="756" t="str">
        <f>+VLOOKUP(E64,'Base Indicadores 1'!$B$7:$AL$85,8,0)</f>
        <v>Anual</v>
      </c>
      <c r="H64" s="681" t="str">
        <f>+VLOOKUP(E64,'Base Indicadores 1'!$B$7:$AL$85,9,0)</f>
        <v>Flujo</v>
      </c>
      <c r="I64" s="686">
        <f>+VLOOKUP(E64,'Base Indicadores 1'!$B$7:$AM$85,12,0)</f>
        <v>419082</v>
      </c>
      <c r="J64" s="694">
        <f>+VLOOKUP(E64,'Base Indicadores 1'!$B$7:$AM$85,11,0)</f>
        <v>357218</v>
      </c>
      <c r="K64" s="686">
        <f>+VLOOKUP(E64,'Base Indicadores 1'!$B$7:$AM$85,32,0)</f>
        <v>209370</v>
      </c>
      <c r="L64" s="683">
        <f>+VLOOKUP(E64,'Base Indicadores 1'!$B$7:$AM$85,35,0)</f>
        <v>0.58611268189172994</v>
      </c>
      <c r="M64" s="684" t="str">
        <f>VLOOKUP(E64,'Base Indicadores 1'!$B$7:$AM$85,36,0)</f>
        <v>Dato a noviembre 2018: 247.608; El dato 2018 se reporta en abril</v>
      </c>
      <c r="N64" s="689" t="s">
        <v>348</v>
      </c>
      <c r="O64" s="772">
        <f t="shared" si="0"/>
        <v>0.58611268189172994</v>
      </c>
    </row>
    <row r="65" spans="1:15" ht="60" customHeight="1" x14ac:dyDescent="0.25">
      <c r="A65" s="483">
        <v>47</v>
      </c>
      <c r="C65" s="814" t="s">
        <v>125</v>
      </c>
      <c r="D65" s="756">
        <v>4445</v>
      </c>
      <c r="E65" s="680" t="s">
        <v>8</v>
      </c>
      <c r="F65" s="756" t="str">
        <f>+VLOOKUP(E65,'Base Indicadores 1'!$B$7:$AM$85,10,0)</f>
        <v>Porcentaje</v>
      </c>
      <c r="G65" s="756" t="str">
        <f>+VLOOKUP(E65,'Base Indicadores 1'!$B$7:$AL$85,8,0)</f>
        <v>Anual</v>
      </c>
      <c r="H65" s="681" t="str">
        <f>+VLOOKUP(E65,'Base Indicadores 1'!$B$7:$AL$85,9,0)</f>
        <v>Flujo</v>
      </c>
      <c r="I65" s="682">
        <f>+VLOOKUP(E65,'Base Indicadores 1'!$B$7:$AM$85,12,0)</f>
        <v>0.371</v>
      </c>
      <c r="J65" s="685">
        <f>+VLOOKUP(E65,'Base Indicadores 1'!$B$7:$AM$85,11,0)</f>
        <v>0.45</v>
      </c>
      <c r="K65" s="682">
        <f>+VLOOKUP(E65,'Base Indicadores 1'!$B$7:$AM$85,32,0)</f>
        <v>0.32129999999999997</v>
      </c>
      <c r="L65" s="683">
        <f>+VLOOKUP(E65,'Base Indicadores 1'!$B$7:$AM$85,35,0)</f>
        <v>0.71399999999999997</v>
      </c>
      <c r="M65" s="684" t="str">
        <f>VLOOKUP(E65,'Base Indicadores 1'!$B$7:$AM$85,36,0)</f>
        <v>Dato a diciembre 2017
Dato a diciembre 2018 sale en junio 19</v>
      </c>
      <c r="N65" s="689" t="s">
        <v>348</v>
      </c>
      <c r="O65" s="772">
        <f t="shared" si="0"/>
        <v>0.71399999999999997</v>
      </c>
    </row>
    <row r="66" spans="1:15" ht="59.25" customHeight="1" x14ac:dyDescent="0.25">
      <c r="A66" s="483">
        <v>48</v>
      </c>
      <c r="C66" s="814"/>
      <c r="D66" s="756">
        <v>4446</v>
      </c>
      <c r="E66" s="680" t="s">
        <v>9</v>
      </c>
      <c r="F66" s="756" t="str">
        <f>+VLOOKUP(E66,'Base Indicadores 1'!$B$7:$AM$85,10,0)</f>
        <v>Porcentaje</v>
      </c>
      <c r="G66" s="756" t="str">
        <f>+VLOOKUP(E66,'Base Indicadores 1'!$B$7:$AL$85,8,0)</f>
        <v>Anual</v>
      </c>
      <c r="H66" s="681" t="str">
        <f>+VLOOKUP(E66,'Base Indicadores 1'!$B$7:$AL$85,9,0)</f>
        <v>Capacidad</v>
      </c>
      <c r="I66" s="682">
        <f>+VLOOKUP(E66,'Base Indicadores 1'!$B$7:$AM$85,12,0)</f>
        <v>0.35699999999999998</v>
      </c>
      <c r="J66" s="685">
        <f>+VLOOKUP(E66,'Base Indicadores 1'!$B$7:$AM$85,11,0)</f>
        <v>0.42</v>
      </c>
      <c r="K66" s="682">
        <f>+VLOOKUP(E66,'Base Indicadores 1'!$B$7:$AM$85,32,0)</f>
        <v>0.36399999999999999</v>
      </c>
      <c r="L66" s="683">
        <f>+VLOOKUP(E66,'Base Indicadores 1'!$B$7:$AM$85,35,0)</f>
        <v>0.8666666666666667</v>
      </c>
      <c r="M66" s="684" t="str">
        <f>VLOOKUP(E66,'Base Indicadores 1'!$B$7:$AM$85,36,0)</f>
        <v>Dato a diciembre 2017
Dato a diciembre 2018 sale en junio 19</v>
      </c>
      <c r="N66" s="689"/>
      <c r="O66" s="772">
        <f t="shared" si="0"/>
        <v>0.8666666666666667</v>
      </c>
    </row>
    <row r="67" spans="1:15" ht="30" x14ac:dyDescent="0.25">
      <c r="A67" s="483">
        <v>49</v>
      </c>
      <c r="C67" s="814" t="s">
        <v>137</v>
      </c>
      <c r="D67" s="756">
        <v>5238</v>
      </c>
      <c r="E67" s="680" t="s">
        <v>71</v>
      </c>
      <c r="F67" s="756" t="str">
        <f>+VLOOKUP(E67,'Base Indicadores 1'!$B$7:$AM$85,10,0)</f>
        <v>Personas</v>
      </c>
      <c r="G67" s="756" t="str">
        <f>+VLOOKUP(E67,'Base Indicadores 1'!$B$7:$AL$85,8,0)</f>
        <v>Anual</v>
      </c>
      <c r="H67" s="681" t="str">
        <f>+VLOOKUP(E67,'Base Indicadores 1'!$B$7:$AL$85,9,0)</f>
        <v>Acumulado</v>
      </c>
      <c r="I67" s="686">
        <f>+VLOOKUP(E67,'Base Indicadores 1'!$B$7:$AM$85,12,0)</f>
        <v>43429</v>
      </c>
      <c r="J67" s="694">
        <f>+VLOOKUP(E67,'Base Indicadores 1'!$B$7:$AM$85,11,0)</f>
        <v>46000</v>
      </c>
      <c r="K67" s="686">
        <f>+VLOOKUP(E67,'Base Indicadores 1'!$B$7:$AM$85,32,0)</f>
        <v>6560</v>
      </c>
      <c r="L67" s="683">
        <f>+VLOOKUP(E67,'Base Indicadores 1'!$B$7:$AM$85,35,0)</f>
        <v>0.14260869565217391</v>
      </c>
      <c r="M67" s="684" t="str">
        <f>VLOOKUP(E67,'Base Indicadores 1'!$B$7:$AM$85,36,0)</f>
        <v>Dato a diciembre 2017
PENDIENTE DATO A DICIEMBRE 2018</v>
      </c>
      <c r="N67" s="689" t="s">
        <v>348</v>
      </c>
      <c r="O67" s="772">
        <f t="shared" si="0"/>
        <v>0.14260869565217391</v>
      </c>
    </row>
    <row r="68" spans="1:15" ht="45" x14ac:dyDescent="0.25">
      <c r="A68" s="483">
        <v>50</v>
      </c>
      <c r="C68" s="814"/>
      <c r="D68" s="756">
        <v>5327</v>
      </c>
      <c r="E68" s="693" t="s">
        <v>307</v>
      </c>
      <c r="F68" s="756" t="str">
        <f>+VLOOKUP(E68,'Base Indicadores 1'!$B$7:$AM$85,10,0)</f>
        <v>Porcentaje</v>
      </c>
      <c r="G68" s="756" t="str">
        <f>+VLOOKUP(E68,'Base Indicadores 1'!$B$7:$AL$85,8,0)</f>
        <v>Trimestral</v>
      </c>
      <c r="H68" s="681" t="str">
        <f>+VLOOKUP(E68,'Base Indicadores 1'!$B$7:$AL$85,9,0)</f>
        <v>Stock</v>
      </c>
      <c r="I68" s="682">
        <f>+VLOOKUP(E68,'Base Indicadores 1'!$B$7:$AM$85,12,0)</f>
        <v>0</v>
      </c>
      <c r="J68" s="685">
        <f>+VLOOKUP(E68,'Base Indicadores 1'!$B$7:$AM$85,11,0)</f>
        <v>0.85</v>
      </c>
      <c r="K68" s="682">
        <f>+VLOOKUP(E68,'Base Indicadores 1'!$B$7:$AM$85,32,0)</f>
        <v>0.74</v>
      </c>
      <c r="L68" s="683">
        <f>+VLOOKUP(E68,'Base Indicadores 1'!$B$7:$AM$85,35,0)</f>
        <v>0.87058823529411766</v>
      </c>
      <c r="M68" s="684" t="str">
        <f>VLOOKUP(E68,'Base Indicadores 1'!$B$7:$AM$85,36,0)</f>
        <v>Dato a diciembre 2017</v>
      </c>
      <c r="N68" s="689"/>
      <c r="O68" s="773">
        <f t="shared" si="0"/>
        <v>0.87058823529411766</v>
      </c>
    </row>
    <row r="69" spans="1:15" ht="66" customHeight="1" x14ac:dyDescent="0.25">
      <c r="A69" s="483">
        <v>51</v>
      </c>
      <c r="C69" s="814"/>
      <c r="D69" s="756">
        <v>5328</v>
      </c>
      <c r="E69" s="693" t="s">
        <v>73</v>
      </c>
      <c r="F69" s="756" t="str">
        <f>+VLOOKUP(E69,'Base Indicadores 1'!$B$7:$AM$85,10,0)</f>
        <v>Porcentaje</v>
      </c>
      <c r="G69" s="756" t="str">
        <f>+VLOOKUP(E69,'Base Indicadores 1'!$B$7:$AL$85,8,0)</f>
        <v>Trimestral</v>
      </c>
      <c r="H69" s="681" t="str">
        <f>+VLOOKUP(E69,'Base Indicadores 1'!$B$7:$AL$85,9,0)</f>
        <v>Stock</v>
      </c>
      <c r="I69" s="682">
        <f>+VLOOKUP(E69,'Base Indicadores 1'!$B$7:$AM$85,12,0)</f>
        <v>0</v>
      </c>
      <c r="J69" s="685">
        <f>+VLOOKUP(E69,'Base Indicadores 1'!$B$7:$AM$85,11,0)</f>
        <v>1</v>
      </c>
      <c r="K69" s="682">
        <f>+VLOOKUP(E69,'Base Indicadores 1'!$B$7:$AM$85,32,0)</f>
        <v>0.24</v>
      </c>
      <c r="L69" s="683">
        <f>+VLOOKUP(E69,'Base Indicadores 1'!$B$7:$AM$85,35,0)</f>
        <v>0.24</v>
      </c>
      <c r="M69" s="684" t="str">
        <f>VLOOKUP(E69,'Base Indicadores 1'!$B$7:$AM$85,36,0)</f>
        <v>Dato a marzo 2018</v>
      </c>
      <c r="N69" s="689" t="s">
        <v>348</v>
      </c>
      <c r="O69" s="773">
        <f t="shared" si="0"/>
        <v>0.24</v>
      </c>
    </row>
    <row r="70" spans="1:15" ht="60" customHeight="1" x14ac:dyDescent="0.25">
      <c r="A70" s="483">
        <v>52</v>
      </c>
      <c r="C70" s="814"/>
      <c r="D70" s="756">
        <v>5334</v>
      </c>
      <c r="E70" s="693" t="s">
        <v>74</v>
      </c>
      <c r="F70" s="756" t="str">
        <f>+VLOOKUP(E70,'Base Indicadores 1'!$B$7:$AM$85,10,0)</f>
        <v>Porcentaje</v>
      </c>
      <c r="G70" s="756" t="str">
        <f>+VLOOKUP(E70,'Base Indicadores 1'!$B$7:$AL$85,8,0)</f>
        <v>Semestral</v>
      </c>
      <c r="H70" s="681" t="str">
        <f>+VLOOKUP(E70,'Base Indicadores 1'!$B$7:$AL$85,9,0)</f>
        <v>Stock</v>
      </c>
      <c r="I70" s="682" t="str">
        <f>+VLOOKUP(E70,'Base Indicadores 1'!$B$7:$AM$85,12,0)</f>
        <v>SIN DATO</v>
      </c>
      <c r="J70" s="685">
        <f>+VLOOKUP(E70,'Base Indicadores 1'!$B$7:$AM$85,11,0)</f>
        <v>1</v>
      </c>
      <c r="K70" s="682">
        <f>+VLOOKUP(E70,'Base Indicadores 1'!$B$7:$AM$85,32,0)</f>
        <v>0.24</v>
      </c>
      <c r="L70" s="683">
        <f>+VLOOKUP(E70,'Base Indicadores 1'!$B$7:$AM$85,35,0)</f>
        <v>0.24</v>
      </c>
      <c r="M70" s="684" t="str">
        <f>VLOOKUP(E70,'Base Indicadores 1'!$B$7:$AM$85,36,0)</f>
        <v>Dato a diciembre de 2016</v>
      </c>
      <c r="N70" s="689" t="s">
        <v>348</v>
      </c>
      <c r="O70" s="773">
        <f t="shared" si="0"/>
        <v>0.24</v>
      </c>
    </row>
    <row r="71" spans="1:15" ht="88.5" customHeight="1" x14ac:dyDescent="0.25">
      <c r="A71" s="483">
        <v>53</v>
      </c>
      <c r="C71" s="814" t="s">
        <v>136</v>
      </c>
      <c r="D71" s="756">
        <v>5393</v>
      </c>
      <c r="E71" s="680" t="s">
        <v>306</v>
      </c>
      <c r="F71" s="756" t="str">
        <f>+VLOOKUP(E71,'Base Indicadores 1'!$B$7:$AM$85,10,0)</f>
        <v>Porcentaje</v>
      </c>
      <c r="G71" s="756" t="str">
        <f>+VLOOKUP(E71,'Base Indicadores 1'!$B$7:$AL$85,8,0)</f>
        <v>Anual</v>
      </c>
      <c r="H71" s="681" t="str">
        <f>+VLOOKUP(E71,'Base Indicadores 1'!$B$7:$AL$85,9,0)</f>
        <v>Capacidad</v>
      </c>
      <c r="I71" s="682">
        <f>+VLOOKUP(E71,'Base Indicadores 1'!$B$7:$AM$85,12,0)</f>
        <v>0</v>
      </c>
      <c r="J71" s="685">
        <f>+VLOOKUP(E71,'Base Indicadores 1'!$B$7:$AM$85,11,0)</f>
        <v>1</v>
      </c>
      <c r="K71" s="682">
        <f>+VLOOKUP(E71,'Base Indicadores 1'!$B$7:$AM$85,32,0)</f>
        <v>0.6</v>
      </c>
      <c r="L71" s="683">
        <f>+VLOOKUP(E71,'Base Indicadores 1'!$B$7:$AM$85,35,0)</f>
        <v>0.6</v>
      </c>
      <c r="M71" s="684" t="str">
        <f>VLOOKUP(E71,'Base Indicadores 1'!$B$7:$AM$85,36,0)</f>
        <v>Dato a diciembre 2017</v>
      </c>
      <c r="N71" s="689" t="s">
        <v>348</v>
      </c>
      <c r="O71" s="772">
        <f t="shared" si="0"/>
        <v>0.6</v>
      </c>
    </row>
    <row r="72" spans="1:15" ht="57.75" customHeight="1" thickBot="1" x14ac:dyDescent="0.3">
      <c r="A72" s="483">
        <v>54</v>
      </c>
      <c r="C72" s="818"/>
      <c r="D72" s="774">
        <v>5391</v>
      </c>
      <c r="E72" s="775" t="s">
        <v>69</v>
      </c>
      <c r="F72" s="774" t="str">
        <f>+VLOOKUP(E72,'Base Indicadores 1'!$B$7:$AM$85,10,0)</f>
        <v>Porcentaje</v>
      </c>
      <c r="G72" s="774" t="str">
        <f>+VLOOKUP(E72,'Base Indicadores 1'!$B$7:$AL$85,8,0)</f>
        <v>Anual</v>
      </c>
      <c r="H72" s="776" t="str">
        <f>+VLOOKUP(E72,'Base Indicadores 1'!$B$7:$AL$85,9,0)</f>
        <v>Capacidad</v>
      </c>
      <c r="I72" s="777">
        <f>+VLOOKUP(E72,'Base Indicadores 1'!$B$7:$AM$85,12,0)</f>
        <v>0</v>
      </c>
      <c r="J72" s="778">
        <f>+VLOOKUP(E72,'Base Indicadores 1'!$B$7:$AM$85,11,0)</f>
        <v>1</v>
      </c>
      <c r="K72" s="777">
        <f>+VLOOKUP(E72,'Base Indicadores 1'!$B$7:$AM$85,32,0)</f>
        <v>0.2</v>
      </c>
      <c r="L72" s="766">
        <f>+VLOOKUP(E72,'Base Indicadores 1'!$B$7:$AM$85,35,0)</f>
        <v>0.2</v>
      </c>
      <c r="M72" s="779" t="str">
        <f>VLOOKUP(E72,'Base Indicadores 1'!$B$7:$AM$85,36,0)</f>
        <v>Dato a diciembre 2017</v>
      </c>
      <c r="N72" s="780" t="s">
        <v>348</v>
      </c>
      <c r="O72" s="781">
        <f t="shared" si="0"/>
        <v>0.2</v>
      </c>
    </row>
    <row r="73" spans="1:15" s="478" customFormat="1" ht="24" customHeight="1" thickBot="1" x14ac:dyDescent="0.3">
      <c r="A73" s="512"/>
      <c r="C73" s="479"/>
      <c r="D73" s="479"/>
      <c r="E73" s="479"/>
      <c r="F73" s="479"/>
      <c r="H73" s="514"/>
      <c r="I73" s="783"/>
      <c r="J73" s="783"/>
      <c r="K73" s="811" t="s">
        <v>327</v>
      </c>
      <c r="L73" s="812"/>
      <c r="M73" s="812"/>
      <c r="N73" s="813"/>
      <c r="O73" s="515">
        <f>+AVERAGE(O19:O36,O37:O67,O71:O72)</f>
        <v>0.76714737290980384</v>
      </c>
    </row>
    <row r="74" spans="1:15" s="478" customFormat="1" ht="24" customHeight="1" thickBot="1" x14ac:dyDescent="0.3">
      <c r="A74" s="512"/>
      <c r="C74" s="479"/>
      <c r="D74" s="479"/>
      <c r="E74" s="479"/>
      <c r="F74" s="479"/>
      <c r="G74" s="480"/>
      <c r="H74" s="481"/>
      <c r="I74" s="481"/>
      <c r="J74" s="786"/>
      <c r="K74" s="784"/>
      <c r="L74" s="482"/>
      <c r="M74" s="482"/>
      <c r="N74" s="513"/>
      <c r="O74" s="513"/>
    </row>
    <row r="75" spans="1:15" s="478" customFormat="1" ht="24" customHeight="1" thickBot="1" x14ac:dyDescent="0.3">
      <c r="A75" s="512"/>
      <c r="C75" s="511" t="s">
        <v>320</v>
      </c>
      <c r="D75" s="485" t="s">
        <v>99</v>
      </c>
      <c r="E75" s="546"/>
      <c r="F75" s="376"/>
      <c r="G75" s="476"/>
      <c r="H75" s="476"/>
      <c r="I75" s="483"/>
      <c r="J75" s="476"/>
      <c r="K75" s="782"/>
      <c r="L75" s="376"/>
      <c r="M75" s="377"/>
      <c r="N75" s="377"/>
      <c r="O75" s="513"/>
    </row>
    <row r="76" spans="1:15" s="478" customFormat="1" ht="24" customHeight="1" thickBot="1" x14ac:dyDescent="0.3">
      <c r="A76" s="512"/>
      <c r="C76" s="376"/>
      <c r="D76" s="376"/>
      <c r="E76" s="475"/>
      <c r="F76" s="475"/>
      <c r="G76" s="476"/>
      <c r="H76" s="476"/>
      <c r="I76" s="476"/>
      <c r="J76" s="476"/>
      <c r="K76" s="806" t="s">
        <v>345</v>
      </c>
      <c r="L76" s="807"/>
      <c r="M76" s="807"/>
      <c r="N76" s="807"/>
      <c r="O76" s="808"/>
    </row>
    <row r="77" spans="1:15" s="478" customFormat="1" ht="41.25" customHeight="1" thickBot="1" x14ac:dyDescent="0.3">
      <c r="A77" s="512"/>
      <c r="C77" s="487" t="s">
        <v>322</v>
      </c>
      <c r="D77" s="675" t="s">
        <v>357</v>
      </c>
      <c r="E77" s="488" t="s">
        <v>317</v>
      </c>
      <c r="F77" s="675" t="s">
        <v>318</v>
      </c>
      <c r="G77" s="677" t="s">
        <v>355</v>
      </c>
      <c r="H77" s="677" t="s">
        <v>319</v>
      </c>
      <c r="I77" s="678" t="s">
        <v>354</v>
      </c>
      <c r="J77" s="678" t="s">
        <v>324</v>
      </c>
      <c r="K77" s="487" t="s">
        <v>321</v>
      </c>
      <c r="L77" s="489" t="s">
        <v>325</v>
      </c>
      <c r="M77" s="488" t="s">
        <v>326</v>
      </c>
      <c r="N77" s="490" t="s">
        <v>85</v>
      </c>
      <c r="O77" s="490" t="s">
        <v>353</v>
      </c>
    </row>
    <row r="78" spans="1:15" ht="40.5" customHeight="1" x14ac:dyDescent="0.25">
      <c r="A78" s="483">
        <f>+A72+1</f>
        <v>55</v>
      </c>
      <c r="C78" s="535" t="s">
        <v>134</v>
      </c>
      <c r="D78" s="560">
        <v>4448</v>
      </c>
      <c r="E78" s="531" t="s">
        <v>48</v>
      </c>
      <c r="F78" s="531" t="str">
        <f>+VLOOKUP(E78,'Base Indicadores 1'!$B$7:$AM$85,10,0)</f>
        <v>Porcentaje</v>
      </c>
      <c r="G78" s="529" t="str">
        <f>+VLOOKUP(E78,'Base Indicadores 1'!$B$7:$AL$85,8,0)</f>
        <v>Trimestral</v>
      </c>
      <c r="H78" s="532" t="str">
        <f>+VLOOKUP(E78,'Base Indicadores 1'!$B$7:$AL$85,9,0)</f>
        <v>Capacidad</v>
      </c>
      <c r="I78" s="542">
        <f>+VLOOKUP(E78,'Base Indicadores 1'!$B$7:$AM$85,12,0)</f>
        <v>0.16500000000000001</v>
      </c>
      <c r="J78" s="761">
        <f>+VLOOKUP(E78,'Base Indicadores 1'!$B$7:$AM$85,11,0)</f>
        <v>0.9</v>
      </c>
      <c r="K78" s="762">
        <f>+VLOOKUP(E78,'Base Indicadores 1'!$B$7:$AM$85,32,0)</f>
        <v>0.6</v>
      </c>
      <c r="L78" s="763">
        <f>+VLOOKUP(E78,'Base Indicadores 1'!$B$7:$AM$85,35,0)</f>
        <v>0.59183673469387743</v>
      </c>
      <c r="M78" s="770" t="str">
        <f>VLOOKUP(E78,'Base Indicadores 1'!$B$7:$AM$85,36,0)</f>
        <v>Reporte a Diciembre 2018</v>
      </c>
      <c r="N78" s="536" t="s">
        <v>348</v>
      </c>
      <c r="O78" s="537">
        <f t="shared" ref="O78:O100" si="1">+IF(L78&gt;100%,100%,L78)</f>
        <v>0.59183673469387743</v>
      </c>
    </row>
    <row r="79" spans="1:15" ht="40.5" customHeight="1" x14ac:dyDescent="0.25">
      <c r="A79" s="483">
        <f>+A78+1</f>
        <v>56</v>
      </c>
      <c r="C79" s="819" t="s">
        <v>131</v>
      </c>
      <c r="D79" s="558">
        <v>4463</v>
      </c>
      <c r="E79" s="518" t="s">
        <v>60</v>
      </c>
      <c r="F79" s="543" t="str">
        <f>+VLOOKUP(E79,'Base Indicadores 1'!$B$7:$AM$85,10,0)</f>
        <v>Docentes</v>
      </c>
      <c r="G79" s="519" t="str">
        <f>+VLOOKUP(E79,'Base Indicadores 1'!$B$7:$AL$85,8,0)</f>
        <v>Anual</v>
      </c>
      <c r="H79" s="520" t="str">
        <f>+VLOOKUP(E79,'Base Indicadores 1'!$B$7:$AL$85,9,0)</f>
        <v>Capacidad</v>
      </c>
      <c r="I79" s="549">
        <f>+VLOOKUP(E79,'Base Indicadores 1'!$B$7:$AM$85,12,0)</f>
        <v>8893</v>
      </c>
      <c r="J79" s="694">
        <f>+VLOOKUP(E79,'Base Indicadores 1'!$B$7:$AM$85,11,0)</f>
        <v>11638</v>
      </c>
      <c r="K79" s="687">
        <f>+VLOOKUP(E79,'Base Indicadores 1'!$B$7:$AM$85,32,0)</f>
        <v>13415</v>
      </c>
      <c r="L79" s="683">
        <f>+VLOOKUP(E79,'Base Indicadores 1'!$B$7:$AM$85,35,0)</f>
        <v>1.6473588342440801</v>
      </c>
      <c r="M79" s="684" t="str">
        <f>VLOOKUP(E79,'Base Indicadores 1'!$B$7:$AM$85,36,0)</f>
        <v>Dato a diciembre 2017
Dato a 2018 sale en junio 19</v>
      </c>
      <c r="N79" s="521" t="s">
        <v>351</v>
      </c>
      <c r="O79" s="538">
        <f t="shared" si="1"/>
        <v>1</v>
      </c>
    </row>
    <row r="80" spans="1:15" ht="40.5" customHeight="1" x14ac:dyDescent="0.25">
      <c r="A80" s="483">
        <f t="shared" ref="A80:A100" si="2">+A79+1</f>
        <v>57</v>
      </c>
      <c r="C80" s="819"/>
      <c r="D80" s="558">
        <v>5003</v>
      </c>
      <c r="E80" s="518" t="s">
        <v>62</v>
      </c>
      <c r="F80" s="543" t="str">
        <f>+VLOOKUP(E80,'Base Indicadores 1'!$B$7:$AM$85,10,0)</f>
        <v>Graduados</v>
      </c>
      <c r="G80" s="519" t="str">
        <f>+VLOOKUP(E80,'Base Indicadores 1'!$B$7:$AL$85,8,0)</f>
        <v>Anual</v>
      </c>
      <c r="H80" s="520" t="str">
        <f>+VLOOKUP(E80,'Base Indicadores 1'!$B$7:$AL$85,9,0)</f>
        <v>Flujo</v>
      </c>
      <c r="I80" s="549">
        <f>+VLOOKUP(E80,'Base Indicadores 1'!$B$7:$AM$85,12,0)</f>
        <v>82723</v>
      </c>
      <c r="J80" s="694">
        <f>+VLOOKUP(E80,'Base Indicadores 1'!$B$7:$AM$85,11,0)</f>
        <v>40000</v>
      </c>
      <c r="K80" s="687">
        <f>+VLOOKUP(E80,'Base Indicadores 1'!$B$7:$AM$85,32,0)</f>
        <v>87229</v>
      </c>
      <c r="L80" s="683">
        <f>+VLOOKUP(E80,'Base Indicadores 1'!$B$7:$AM$85,35,0)</f>
        <v>2.1807249999999998</v>
      </c>
      <c r="M80" s="684" t="str">
        <f>VLOOKUP(E80,'Base Indicadores 1'!$B$7:$AM$85,36,0)</f>
        <v>Dato a diciembre 2017</v>
      </c>
      <c r="N80" s="521"/>
      <c r="O80" s="538">
        <f t="shared" si="1"/>
        <v>1</v>
      </c>
    </row>
    <row r="81" spans="1:15" ht="79.5" customHeight="1" x14ac:dyDescent="0.25">
      <c r="A81" s="483">
        <f t="shared" si="2"/>
        <v>58</v>
      </c>
      <c r="C81" s="819"/>
      <c r="D81" s="558">
        <v>5161</v>
      </c>
      <c r="E81" s="518" t="s">
        <v>66</v>
      </c>
      <c r="F81" s="543" t="str">
        <f>+VLOOKUP(E81,'Base Indicadores 1'!$B$7:$AM$85,10,0)</f>
        <v>Tasa</v>
      </c>
      <c r="G81" s="519" t="str">
        <f>+VLOOKUP(E81,'Base Indicadores 1'!$B$7:$AL$85,8,0)</f>
        <v>Anual</v>
      </c>
      <c r="H81" s="520" t="str">
        <f>+VLOOKUP(E81,'Base Indicadores 1'!$B$7:$AL$85,9,0)</f>
        <v>Stock</v>
      </c>
      <c r="I81" s="548">
        <f>+VLOOKUP(E81,'Base Indicadores 1'!$B$7:$AM$85,12,0)</f>
        <v>0</v>
      </c>
      <c r="J81" s="685">
        <f>+VLOOKUP(E81,'Base Indicadores 1'!$B$7:$AM$85,11,0)</f>
        <v>0.05</v>
      </c>
      <c r="K81" s="682">
        <f>+VLOOKUP(E81,'Base Indicadores 1'!$B$7:$AM$85,32,0)</f>
        <v>2.4299999999999999E-2</v>
      </c>
      <c r="L81" s="683">
        <f>+VLOOKUP(E81,'Base Indicadores 1'!$B$7:$AM$85,35,0)</f>
        <v>1</v>
      </c>
      <c r="M81" s="684" t="str">
        <f>VLOOKUP(E81,'Base Indicadores 1'!$B$7:$AM$85,36,0)</f>
        <v>Dato a diciembre 2017
Dato a 2018 sale en 2020</v>
      </c>
      <c r="N81" s="521" t="s">
        <v>351</v>
      </c>
      <c r="O81" s="538">
        <f t="shared" si="1"/>
        <v>1</v>
      </c>
    </row>
    <row r="82" spans="1:15" ht="40.5" customHeight="1" x14ac:dyDescent="0.25">
      <c r="A82" s="483">
        <f t="shared" si="2"/>
        <v>59</v>
      </c>
      <c r="C82" s="819"/>
      <c r="D82" s="558">
        <v>5159</v>
      </c>
      <c r="E82" s="518" t="s">
        <v>65</v>
      </c>
      <c r="F82" s="543" t="str">
        <f>+VLOOKUP(E82,'Base Indicadores 1'!$B$7:$AM$85,10,0)</f>
        <v>Estudiantes</v>
      </c>
      <c r="G82" s="519" t="str">
        <f>+VLOOKUP(E82,'Base Indicadores 1'!$B$7:$AL$85,8,0)</f>
        <v>Anual</v>
      </c>
      <c r="H82" s="520" t="str">
        <f>+VLOOKUP(E82,'Base Indicadores 1'!$B$7:$AL$85,9,0)</f>
        <v>Acumulado</v>
      </c>
      <c r="I82" s="549">
        <f>+VLOOKUP(E82,'Base Indicadores 1'!$B$7:$AM$85,12,0)</f>
        <v>0</v>
      </c>
      <c r="J82" s="694">
        <f>+VLOOKUP(E82,'Base Indicadores 1'!$B$7:$AM$85,11,0)</f>
        <v>40000</v>
      </c>
      <c r="K82" s="687">
        <f>+VLOOKUP(E82,'Base Indicadores 1'!$B$7:$AM$85,32,0)</f>
        <v>39995</v>
      </c>
      <c r="L82" s="683">
        <f>+VLOOKUP(E82,'Base Indicadores 1'!$B$7:$AM$85,35,0)</f>
        <v>0.99987499999999996</v>
      </c>
      <c r="M82" s="684" t="str">
        <f>VLOOKUP(E82,'Base Indicadores 1'!$B$7:$AM$85,36,0)</f>
        <v xml:space="preserve">dato a diciembre 2018: 39.995 </v>
      </c>
      <c r="N82" s="521"/>
      <c r="O82" s="538">
        <f t="shared" si="1"/>
        <v>0.99987499999999996</v>
      </c>
    </row>
    <row r="83" spans="1:15" ht="40.5" customHeight="1" x14ac:dyDescent="0.25">
      <c r="A83" s="483">
        <f t="shared" si="2"/>
        <v>60</v>
      </c>
      <c r="C83" s="819"/>
      <c r="D83" s="558">
        <v>4464</v>
      </c>
      <c r="E83" s="518" t="s">
        <v>61</v>
      </c>
      <c r="F83" s="543" t="str">
        <f>+VLOOKUP(E83,'Base Indicadores 1'!$B$7:$AM$85,10,0)</f>
        <v>Puestos</v>
      </c>
      <c r="G83" s="519" t="str">
        <f>+VLOOKUP(E83,'Base Indicadores 1'!$B$7:$AL$85,8,0)</f>
        <v>Anual</v>
      </c>
      <c r="H83" s="520" t="str">
        <f>+VLOOKUP(E83,'Base Indicadores 1'!$B$7:$AL$85,9,0)</f>
        <v>Capacidad</v>
      </c>
      <c r="I83" s="549">
        <f>+VLOOKUP(E83,'Base Indicadores 1'!$B$7:$AM$85,12,0)</f>
        <v>0</v>
      </c>
      <c r="J83" s="694">
        <f>+VLOOKUP(E83,'Base Indicadores 1'!$B$7:$AM$85,11,0)</f>
        <v>25</v>
      </c>
      <c r="K83" s="687">
        <f>+VLOOKUP(E83,'Base Indicadores 1'!$B$7:$AM$85,32,0)</f>
        <v>24</v>
      </c>
      <c r="L83" s="683">
        <f>+VLOOKUP(E83,'Base Indicadores 1'!$B$7:$AM$85,35,0)</f>
        <v>0.96</v>
      </c>
      <c r="M83" s="684" t="str">
        <f>VLOOKUP(E83,'Base Indicadores 1'!$B$7:$AM$85,36,0)</f>
        <v xml:space="preserve">Dato a diciembre 2016
Pendiente dato 2017 y 2018 </v>
      </c>
      <c r="N83" s="521"/>
      <c r="O83" s="538">
        <f t="shared" si="1"/>
        <v>0.96</v>
      </c>
    </row>
    <row r="84" spans="1:15" ht="40.5" customHeight="1" x14ac:dyDescent="0.25">
      <c r="A84" s="483">
        <f t="shared" si="2"/>
        <v>61</v>
      </c>
      <c r="C84" s="819"/>
      <c r="D84" s="558">
        <v>4450</v>
      </c>
      <c r="E84" s="518" t="s">
        <v>50</v>
      </c>
      <c r="F84" s="543" t="str">
        <f>+VLOOKUP(E84,'Base Indicadores 1'!$B$7:$AM$85,10,0)</f>
        <v>Porcentaje</v>
      </c>
      <c r="G84" s="519" t="str">
        <f>+VLOOKUP(E84,'Base Indicadores 1'!$B$7:$AL$85,8,0)</f>
        <v>Anual</v>
      </c>
      <c r="H84" s="520" t="str">
        <f>+VLOOKUP(E84,'Base Indicadores 1'!$B$7:$AL$85,9,0)</f>
        <v>Flujo</v>
      </c>
      <c r="I84" s="548">
        <f>+VLOOKUP(E84,'Base Indicadores 1'!$B$7:$AM$85,12,0)</f>
        <v>9.2999999999999999E-2</v>
      </c>
      <c r="J84" s="685">
        <f>+VLOOKUP(E84,'Base Indicadores 1'!$B$7:$AM$85,11,0)</f>
        <v>0.14699999999999999</v>
      </c>
      <c r="K84" s="682">
        <f>+VLOOKUP(E84,'Base Indicadores 1'!$B$7:$AM$85,32,0)</f>
        <v>0.20649999999999999</v>
      </c>
      <c r="L84" s="683">
        <f>+VLOOKUP(E84,'Base Indicadores 1'!$B$7:$AM$85,35,0)</f>
        <v>1.4047619047619047</v>
      </c>
      <c r="M84" s="684" t="str">
        <f>VLOOKUP(E84,'Base Indicadores 1'!$B$7:$AM$85,36,0)</f>
        <v>Dato a diciembre 2017
Dato a 2018 sale en junio 19</v>
      </c>
      <c r="N84" s="521"/>
      <c r="O84" s="538">
        <f t="shared" si="1"/>
        <v>1</v>
      </c>
    </row>
    <row r="85" spans="1:15" ht="40.5" customHeight="1" x14ac:dyDescent="0.25">
      <c r="A85" s="483">
        <f t="shared" si="2"/>
        <v>62</v>
      </c>
      <c r="C85" s="819"/>
      <c r="D85" s="558">
        <v>4496</v>
      </c>
      <c r="E85" s="518" t="s">
        <v>45</v>
      </c>
      <c r="F85" s="543" t="str">
        <f>+VLOOKUP(E85,'Base Indicadores 1'!$B$7:$AM$85,10,0)</f>
        <v>Tasa</v>
      </c>
      <c r="G85" s="519" t="str">
        <f>+VLOOKUP(E85,'Base Indicadores 1'!$B$7:$AL$85,8,0)</f>
        <v>Anual</v>
      </c>
      <c r="H85" s="520" t="str">
        <f>+VLOOKUP(E85,'Base Indicadores 1'!$B$7:$AL$85,9,0)</f>
        <v>Capacidad</v>
      </c>
      <c r="I85" s="548">
        <f>+VLOOKUP(E85,'Base Indicadores 1'!$B$7:$AM$85,12,0)</f>
        <v>0.14899999999999999</v>
      </c>
      <c r="J85" s="685">
        <f>+VLOOKUP(E85,'Base Indicadores 1'!$B$7:$AM$85,11,0)</f>
        <v>0.2</v>
      </c>
      <c r="K85" s="682">
        <f>+VLOOKUP(E85,'Base Indicadores 1'!$B$7:$AM$85,32,0)</f>
        <v>0.191</v>
      </c>
      <c r="L85" s="683">
        <f>+VLOOKUP(E85,'Base Indicadores 1'!$B$7:$AM$85,35,0)</f>
        <v>0.82352941176470573</v>
      </c>
      <c r="M85" s="684" t="str">
        <f>VLOOKUP(E85,'Base Indicadores 1'!$B$7:$AM$85,36,0)</f>
        <v>Dato a diciembre 2017</v>
      </c>
      <c r="N85" s="521"/>
      <c r="O85" s="538">
        <f t="shared" si="1"/>
        <v>0.82352941176470573</v>
      </c>
    </row>
    <row r="86" spans="1:15" ht="40.5" customHeight="1" x14ac:dyDescent="0.25">
      <c r="A86" s="483">
        <f t="shared" si="2"/>
        <v>63</v>
      </c>
      <c r="C86" s="819"/>
      <c r="D86" s="558">
        <v>4457</v>
      </c>
      <c r="E86" s="518" t="s">
        <v>56</v>
      </c>
      <c r="F86" s="543" t="str">
        <f>+VLOOKUP(E86,'Base Indicadores 1'!$B$7:$AM$85,10,0)</f>
        <v>Departamentos</v>
      </c>
      <c r="G86" s="519" t="str">
        <f>+VLOOKUP(E86,'Base Indicadores 1'!$B$7:$AL$85,8,0)</f>
        <v>Anual</v>
      </c>
      <c r="H86" s="520" t="str">
        <f>+VLOOKUP(E86,'Base Indicadores 1'!$B$7:$AL$85,9,0)</f>
        <v>Flujo</v>
      </c>
      <c r="I86" s="549">
        <f>+VLOOKUP(E86,'Base Indicadores 1'!$B$7:$AM$85,12,0)</f>
        <v>25</v>
      </c>
      <c r="J86" s="694">
        <f>+VLOOKUP(E86,'Base Indicadores 1'!$B$7:$AM$85,11,0)</f>
        <v>33</v>
      </c>
      <c r="K86" s="687">
        <f>+VLOOKUP(E86,'Base Indicadores 1'!$B$7:$AM$85,32,0)</f>
        <v>26</v>
      </c>
      <c r="L86" s="683">
        <f>+VLOOKUP(E86,'Base Indicadores 1'!$B$7:$AM$85,35,0)</f>
        <v>0.78787878787878785</v>
      </c>
      <c r="M86" s="684" t="str">
        <f>VLOOKUP(E86,'Base Indicadores 1'!$B$7:$AM$85,36,0)</f>
        <v>Dato a diciembre 2017
Dato a 2018 sale en junio 19</v>
      </c>
      <c r="N86" s="521" t="s">
        <v>348</v>
      </c>
      <c r="O86" s="538">
        <f t="shared" si="1"/>
        <v>0.78787878787878785</v>
      </c>
    </row>
    <row r="87" spans="1:15" ht="40.5" customHeight="1" x14ac:dyDescent="0.25">
      <c r="A87" s="483">
        <f t="shared" si="2"/>
        <v>64</v>
      </c>
      <c r="C87" s="819"/>
      <c r="D87" s="558">
        <v>5004</v>
      </c>
      <c r="E87" s="518" t="s">
        <v>63</v>
      </c>
      <c r="F87" s="543" t="str">
        <f>+VLOOKUP(E87,'Base Indicadores 1'!$B$7:$AM$85,10,0)</f>
        <v>Cupos</v>
      </c>
      <c r="G87" s="519" t="str">
        <f>+VLOOKUP(E87,'Base Indicadores 1'!$B$7:$AL$85,8,0)</f>
        <v>Anual</v>
      </c>
      <c r="H87" s="520" t="str">
        <f>+VLOOKUP(E87,'Base Indicadores 1'!$B$7:$AL$85,9,0)</f>
        <v>Flujo</v>
      </c>
      <c r="I87" s="549">
        <f>+VLOOKUP(E87,'Base Indicadores 1'!$B$7:$AM$85,12,0)</f>
        <v>14623</v>
      </c>
      <c r="J87" s="694">
        <f>+VLOOKUP(E87,'Base Indicadores 1'!$B$7:$AM$85,11,0)</f>
        <v>7000</v>
      </c>
      <c r="K87" s="687">
        <f>+VLOOKUP(E87,'Base Indicadores 1'!$B$7:$AM$85,32,0)</f>
        <v>3244</v>
      </c>
      <c r="L87" s="683">
        <f>+VLOOKUP(E87,'Base Indicadores 1'!$B$7:$AM$85,35,0)</f>
        <v>0.46342857142857141</v>
      </c>
      <c r="M87" s="684" t="str">
        <f>VLOOKUP(E87,'Base Indicadores 1'!$B$7:$AM$85,36,0)</f>
        <v>Dato a diciembre 2017</v>
      </c>
      <c r="N87" s="521" t="s">
        <v>348</v>
      </c>
      <c r="O87" s="538">
        <f t="shared" si="1"/>
        <v>0.46342857142857141</v>
      </c>
    </row>
    <row r="88" spans="1:15" ht="40.5" customHeight="1" x14ac:dyDescent="0.25">
      <c r="A88" s="483">
        <f t="shared" si="2"/>
        <v>65</v>
      </c>
      <c r="C88" s="819"/>
      <c r="D88" s="558">
        <v>4453</v>
      </c>
      <c r="E88" s="518" t="s">
        <v>51</v>
      </c>
      <c r="F88" s="543" t="str">
        <f>+VLOOKUP(E88,'Base Indicadores 1'!$B$7:$AM$85,10,0)</f>
        <v>Porcentaje</v>
      </c>
      <c r="G88" s="519" t="str">
        <f>+VLOOKUP(E88,'Base Indicadores 1'!$B$7:$AL$85,8,0)</f>
        <v>Anual</v>
      </c>
      <c r="H88" s="520" t="str">
        <f>+VLOOKUP(E88,'Base Indicadores 1'!$B$7:$AL$85,9,0)</f>
        <v>Flujo</v>
      </c>
      <c r="I88" s="548">
        <f>+VLOOKUP(E88,'Base Indicadores 1'!$B$7:$AM$85,12,0)</f>
        <v>0.1</v>
      </c>
      <c r="J88" s="685">
        <f>+VLOOKUP(E88,'Base Indicadores 1'!$B$7:$AM$85,11,0)</f>
        <v>0.15</v>
      </c>
      <c r="K88" s="682">
        <f>+VLOOKUP(E88,'Base Indicadores 1'!$B$7:$AM$85,32,0)</f>
        <v>9.0999999999999998E-2</v>
      </c>
      <c r="L88" s="683">
        <f>+VLOOKUP(E88,'Base Indicadores 1'!$B$7:$AM$85,35,0)</f>
        <v>0.60666666666666669</v>
      </c>
      <c r="M88" s="684" t="str">
        <f>VLOOKUP(E88,'Base Indicadores 1'!$B$7:$AM$85,36,0)</f>
        <v>Dato a diciembre 2017
Dato a 2018 sale en abril-19</v>
      </c>
      <c r="N88" s="521" t="s">
        <v>348</v>
      </c>
      <c r="O88" s="538">
        <f t="shared" si="1"/>
        <v>0.60666666666666669</v>
      </c>
    </row>
    <row r="89" spans="1:15" ht="40.5" customHeight="1" x14ac:dyDescent="0.25">
      <c r="A89" s="483">
        <f t="shared" si="2"/>
        <v>66</v>
      </c>
      <c r="C89" s="819"/>
      <c r="D89" s="558">
        <v>4454</v>
      </c>
      <c r="E89" s="518" t="s">
        <v>52</v>
      </c>
      <c r="F89" s="543" t="str">
        <f>+VLOOKUP(E89,'Base Indicadores 1'!$B$7:$AM$85,10,0)</f>
        <v>Cupos</v>
      </c>
      <c r="G89" s="519" t="str">
        <f>+VLOOKUP(E89,'Base Indicadores 1'!$B$7:$AL$85,8,0)</f>
        <v>Anual</v>
      </c>
      <c r="H89" s="520" t="str">
        <f>+VLOOKUP(E89,'Base Indicadores 1'!$B$7:$AL$85,9,0)</f>
        <v>Flujo</v>
      </c>
      <c r="I89" s="549">
        <f>+VLOOKUP(E89,'Base Indicadores 1'!$B$7:$AM$85,12,0)</f>
        <v>168664</v>
      </c>
      <c r="J89" s="694">
        <f>+VLOOKUP(E89,'Base Indicadores 1'!$B$7:$AM$85,11,0)</f>
        <v>150000</v>
      </c>
      <c r="K89" s="687">
        <f>+VLOOKUP(E89,'Base Indicadores 1'!$B$7:$AM$85,32,0)</f>
        <v>20855</v>
      </c>
      <c r="L89" s="683">
        <f>+VLOOKUP(E89,'Base Indicadores 1'!$B$7:$AM$85,35,0)</f>
        <v>0.13903333333333334</v>
      </c>
      <c r="M89" s="684" t="str">
        <f>VLOOKUP(E89,'Base Indicadores 1'!$B$7:$AM$85,36,0)</f>
        <v>Dato a diciembre 2017
Dato a 2018 sale en junio 19</v>
      </c>
      <c r="N89" s="521" t="s">
        <v>348</v>
      </c>
      <c r="O89" s="538">
        <f t="shared" si="1"/>
        <v>0.13903333333333334</v>
      </c>
    </row>
    <row r="90" spans="1:15" ht="40.5" customHeight="1" x14ac:dyDescent="0.25">
      <c r="A90" s="483">
        <f t="shared" si="2"/>
        <v>67</v>
      </c>
      <c r="C90" s="819"/>
      <c r="D90" s="558">
        <v>4458</v>
      </c>
      <c r="E90" s="518" t="s">
        <v>55</v>
      </c>
      <c r="F90" s="543" t="str">
        <f>+VLOOKUP(E90,'Base Indicadores 1'!$B$7:$AM$85,10,0)</f>
        <v>Cupos</v>
      </c>
      <c r="G90" s="519" t="str">
        <f>+VLOOKUP(E90,'Base Indicadores 1'!$B$7:$AL$85,8,0)</f>
        <v>Anual</v>
      </c>
      <c r="H90" s="520" t="str">
        <f>+VLOOKUP(E90,'Base Indicadores 1'!$B$7:$AL$85,9,0)</f>
        <v>Flujo</v>
      </c>
      <c r="I90" s="549">
        <f>+VLOOKUP(E90,'Base Indicadores 1'!$B$7:$AM$85,12,0)</f>
        <v>546631</v>
      </c>
      <c r="J90" s="694">
        <f>+VLOOKUP(E90,'Base Indicadores 1'!$B$7:$AM$85,11,0)</f>
        <v>400000</v>
      </c>
      <c r="K90" s="687">
        <f>+VLOOKUP(E90,'Base Indicadores 1'!$B$7:$AM$85,32,0)</f>
        <v>225662</v>
      </c>
      <c r="L90" s="683">
        <f>+VLOOKUP(E90,'Base Indicadores 1'!$B$7:$AM$85,35,0)</f>
        <v>0.56415499999999996</v>
      </c>
      <c r="M90" s="684" t="str">
        <f>VLOOKUP(E90,'Base Indicadores 1'!$B$7:$AM$85,36,0)</f>
        <v>Dato a diciembre 2017
Dato a 2018 sale en junio 19</v>
      </c>
      <c r="N90" s="521" t="s">
        <v>348</v>
      </c>
      <c r="O90" s="538">
        <f t="shared" si="1"/>
        <v>0.56415499999999996</v>
      </c>
    </row>
    <row r="91" spans="1:15" ht="40.5" customHeight="1" x14ac:dyDescent="0.25">
      <c r="A91" s="483">
        <f t="shared" si="2"/>
        <v>68</v>
      </c>
      <c r="C91" s="819"/>
      <c r="D91" s="558">
        <v>4456</v>
      </c>
      <c r="E91" s="518" t="s">
        <v>54</v>
      </c>
      <c r="F91" s="543" t="str">
        <f>+VLOOKUP(E91,'Base Indicadores 1'!$B$7:$AM$85,10,0)</f>
        <v>Tasa</v>
      </c>
      <c r="G91" s="519" t="str">
        <f>+VLOOKUP(E91,'Base Indicadores 1'!$B$7:$AL$85,8,0)</f>
        <v>Anual</v>
      </c>
      <c r="H91" s="520" t="str">
        <f>+VLOOKUP(E91,'Base Indicadores 1'!$B$7:$AL$85,9,0)</f>
        <v>Capacidad</v>
      </c>
      <c r="I91" s="548">
        <f>+VLOOKUP(E91,'Base Indicadores 1'!$B$7:$AM$85,12,0)</f>
        <v>0.47799999999999998</v>
      </c>
      <c r="J91" s="685">
        <f>+VLOOKUP(E91,'Base Indicadores 1'!$B$7:$AM$85,11,0)</f>
        <v>0.56999999999999995</v>
      </c>
      <c r="K91" s="682">
        <f>+VLOOKUP(E91,'Base Indicadores 1'!$B$7:$AM$85,32,0)</f>
        <v>0.52800000000000002</v>
      </c>
      <c r="L91" s="683">
        <f>+VLOOKUP(E91,'Base Indicadores 1'!$B$7:$AM$85,35,0)</f>
        <v>0.54347826086956585</v>
      </c>
      <c r="M91" s="684" t="str">
        <f>VLOOKUP(E91,'Base Indicadores 1'!$B$7:$AM$85,36,0)</f>
        <v>Dato a diciembre 2017
Dato a 2018 sale en junio 19</v>
      </c>
      <c r="N91" s="521" t="s">
        <v>348</v>
      </c>
      <c r="O91" s="538">
        <f t="shared" si="1"/>
        <v>0.54347826086956585</v>
      </c>
    </row>
    <row r="92" spans="1:15" ht="40.5" customHeight="1" x14ac:dyDescent="0.25">
      <c r="A92" s="483">
        <f t="shared" si="2"/>
        <v>69</v>
      </c>
      <c r="C92" s="819"/>
      <c r="D92" s="558">
        <v>4455</v>
      </c>
      <c r="E92" s="518" t="s">
        <v>53</v>
      </c>
      <c r="F92" s="543" t="str">
        <f>+VLOOKUP(E92,'Base Indicadores 1'!$B$7:$AM$85,10,0)</f>
        <v>Tasa</v>
      </c>
      <c r="G92" s="519" t="str">
        <f>+VLOOKUP(E92,'Base Indicadores 1'!$B$7:$AL$85,8,0)</f>
        <v>Anual</v>
      </c>
      <c r="H92" s="520" t="str">
        <f>+VLOOKUP(E92,'Base Indicadores 1'!$B$7:$AL$85,9,0)</f>
        <v>Reducción</v>
      </c>
      <c r="I92" s="548">
        <f>+VLOOKUP(E92,'Base Indicadores 1'!$B$7:$AM$85,12,0)</f>
        <v>0.19400000000000001</v>
      </c>
      <c r="J92" s="685">
        <f>+VLOOKUP(E92,'Base Indicadores 1'!$B$7:$AM$85,11,0)</f>
        <v>0.15</v>
      </c>
      <c r="K92" s="682">
        <f>+VLOOKUP(E92,'Base Indicadores 1'!$B$7:$AM$85,32,0)</f>
        <v>0.17100000000000001</v>
      </c>
      <c r="L92" s="683">
        <f>+VLOOKUP(E92,'Base Indicadores 1'!$B$7:$AM$85,35,0)</f>
        <v>0.52272727272727237</v>
      </c>
      <c r="M92" s="684" t="str">
        <f>VLOOKUP(E92,'Base Indicadores 1'!$B$7:$AM$85,36,0)</f>
        <v>Dato a diciembre 2016</v>
      </c>
      <c r="N92" s="521" t="s">
        <v>348</v>
      </c>
      <c r="O92" s="538">
        <f t="shared" si="1"/>
        <v>0.52272727272727237</v>
      </c>
    </row>
    <row r="93" spans="1:15" ht="40.5" customHeight="1" x14ac:dyDescent="0.25">
      <c r="A93" s="483">
        <f t="shared" si="2"/>
        <v>70</v>
      </c>
      <c r="C93" s="819"/>
      <c r="D93" s="558">
        <v>5394</v>
      </c>
      <c r="E93" s="518" t="s">
        <v>67</v>
      </c>
      <c r="F93" s="543" t="str">
        <f>+VLOOKUP(E93,'Base Indicadores 1'!$B$7:$AM$85,10,0)</f>
        <v>Cupos</v>
      </c>
      <c r="G93" s="519" t="str">
        <f>+VLOOKUP(E93,'Base Indicadores 1'!$B$7:$AL$85,8,0)</f>
        <v>Anual</v>
      </c>
      <c r="H93" s="520" t="str">
        <f>+VLOOKUP(E93,'Base Indicadores 1'!$B$7:$AL$85,9,0)</f>
        <v>Acumulado</v>
      </c>
      <c r="I93" s="549">
        <f>+VLOOKUP(E93,'Base Indicadores 1'!$B$7:$AM$85,12,0)</f>
        <v>0</v>
      </c>
      <c r="J93" s="694">
        <f>+VLOOKUP(E93,'Base Indicadores 1'!$B$7:$AM$85,11,0)</f>
        <v>20</v>
      </c>
      <c r="K93" s="687">
        <f>+VLOOKUP(E93,'Base Indicadores 1'!$B$7:$AM$85,32,0)</f>
        <v>10</v>
      </c>
      <c r="L93" s="683">
        <f>+VLOOKUP(E93,'Base Indicadores 1'!$B$7:$AM$85,35,0)</f>
        <v>0.5</v>
      </c>
      <c r="M93" s="684" t="str">
        <f>VLOOKUP(E93,'Base Indicadores 1'!$B$7:$AM$85,36,0)</f>
        <v>Dato a diciembre 2017</v>
      </c>
      <c r="N93" s="521" t="s">
        <v>348</v>
      </c>
      <c r="O93" s="538">
        <f t="shared" si="1"/>
        <v>0.5</v>
      </c>
    </row>
    <row r="94" spans="1:15" ht="40.5" customHeight="1" x14ac:dyDescent="0.25">
      <c r="A94" s="483">
        <f t="shared" si="2"/>
        <v>71</v>
      </c>
      <c r="C94" s="819"/>
      <c r="D94" s="558">
        <v>4459</v>
      </c>
      <c r="E94" s="518" t="s">
        <v>57</v>
      </c>
      <c r="F94" s="543" t="str">
        <f>+VLOOKUP(E94,'Base Indicadores 1'!$B$7:$AM$85,10,0)</f>
        <v>Tasa</v>
      </c>
      <c r="G94" s="519" t="str">
        <f>+VLOOKUP(E94,'Base Indicadores 1'!$B$7:$AL$85,8,0)</f>
        <v>Anual</v>
      </c>
      <c r="H94" s="520" t="str">
        <f>+VLOOKUP(E94,'Base Indicadores 1'!$B$7:$AL$85,9,0)</f>
        <v>Reducción</v>
      </c>
      <c r="I94" s="548">
        <f>+VLOOKUP(E94,'Base Indicadores 1'!$B$7:$AM$85,12,0)</f>
        <v>0.10100000000000001</v>
      </c>
      <c r="J94" s="685">
        <f>+VLOOKUP(E94,'Base Indicadores 1'!$B$7:$AM$85,11,0)</f>
        <v>0.08</v>
      </c>
      <c r="K94" s="682">
        <f>+VLOOKUP(E94,'Base Indicadores 1'!$B$7:$AM$85,32,0)</f>
        <v>0.09</v>
      </c>
      <c r="L94" s="683">
        <f>+VLOOKUP(E94,'Base Indicadores 1'!$B$7:$AM$85,35,0)</f>
        <v>0.52380952380952417</v>
      </c>
      <c r="M94" s="684" t="str">
        <f>VLOOKUP(E94,'Base Indicadores 1'!$B$7:$AM$85,36,0)</f>
        <v>Dato a diciembre 2016</v>
      </c>
      <c r="N94" s="521" t="s">
        <v>348</v>
      </c>
      <c r="O94" s="538">
        <f t="shared" si="1"/>
        <v>0.52380952380952417</v>
      </c>
    </row>
    <row r="95" spans="1:15" ht="40.5" customHeight="1" x14ac:dyDescent="0.25">
      <c r="A95" s="483">
        <f t="shared" si="2"/>
        <v>72</v>
      </c>
      <c r="C95" s="819"/>
      <c r="D95" s="558">
        <v>4449</v>
      </c>
      <c r="E95" s="518" t="s">
        <v>49</v>
      </c>
      <c r="F95" s="543" t="str">
        <f>+VLOOKUP(E95,'Base Indicadores 1'!$B$7:$AM$85,10,0)</f>
        <v>Porcentaje</v>
      </c>
      <c r="G95" s="519" t="str">
        <f>+VLOOKUP(E95,'Base Indicadores 1'!$B$7:$AL$85,8,0)</f>
        <v>Anual</v>
      </c>
      <c r="H95" s="520" t="str">
        <f>+VLOOKUP(E95,'Base Indicadores 1'!$B$7:$AL$85,9,0)</f>
        <v>Flujo</v>
      </c>
      <c r="I95" s="548">
        <f>+VLOOKUP(E95,'Base Indicadores 1'!$B$7:$AM$85,12,0)</f>
        <v>3.4000000000000002E-2</v>
      </c>
      <c r="J95" s="685">
        <f>+VLOOKUP(E95,'Base Indicadores 1'!$B$7:$AM$85,11,0)</f>
        <v>0.13200000000000001</v>
      </c>
      <c r="K95" s="682">
        <f>+VLOOKUP(E95,'Base Indicadores 1'!$B$7:$AM$85,32,0)</f>
        <v>0.1439</v>
      </c>
      <c r="L95" s="683">
        <f>+VLOOKUP(E95,'Base Indicadores 1'!$B$7:$AM$85,35,0)</f>
        <v>1.0901515151515151</v>
      </c>
      <c r="M95" s="684" t="str">
        <f>VLOOKUP(E95,'Base Indicadores 1'!$B$7:$AM$85,36,0)</f>
        <v>Dato a diciembre 2017
Dato a diciembre 2018 sale en junio 19</v>
      </c>
      <c r="N95" s="521"/>
      <c r="O95" s="538">
        <f t="shared" si="1"/>
        <v>1</v>
      </c>
    </row>
    <row r="96" spans="1:15" ht="40.5" customHeight="1" x14ac:dyDescent="0.25">
      <c r="A96" s="483">
        <f t="shared" si="2"/>
        <v>73</v>
      </c>
      <c r="C96" s="819"/>
      <c r="D96" s="558">
        <v>5005</v>
      </c>
      <c r="E96" s="518" t="s">
        <v>64</v>
      </c>
      <c r="F96" s="543" t="str">
        <f>+VLOOKUP(E96,'Base Indicadores 1'!$B$7:$AM$85,10,0)</f>
        <v>Graduados</v>
      </c>
      <c r="G96" s="519" t="str">
        <f>+VLOOKUP(E96,'Base Indicadores 1'!$B$7:$AL$85,8,0)</f>
        <v>Anual</v>
      </c>
      <c r="H96" s="520" t="str">
        <f>+VLOOKUP(E96,'Base Indicadores 1'!$B$7:$AL$85,9,0)</f>
        <v>Capacidad</v>
      </c>
      <c r="I96" s="549">
        <f>+VLOOKUP(E96,'Base Indicadores 1'!$B$7:$AM$85,12,0)</f>
        <v>2709</v>
      </c>
      <c r="J96" s="694">
        <f>+VLOOKUP(E96,'Base Indicadores 1'!$B$7:$AM$85,11,0)</f>
        <v>4004</v>
      </c>
      <c r="K96" s="687">
        <f>+VLOOKUP(E96,'Base Indicadores 1'!$B$7:$AM$85,32,0)</f>
        <v>12456</v>
      </c>
      <c r="L96" s="683">
        <f>+VLOOKUP(E96,'Base Indicadores 1'!$B$7:$AM$85,35,0)</f>
        <v>7.5266409266409262</v>
      </c>
      <c r="M96" s="684" t="str">
        <f>VLOOKUP(E96,'Base Indicadores 1'!$B$7:$AM$85,36,0)</f>
        <v>Dato a diciembre 2017</v>
      </c>
      <c r="N96" s="696" t="s">
        <v>351</v>
      </c>
      <c r="O96" s="538">
        <v>1</v>
      </c>
    </row>
    <row r="97" spans="1:15" ht="40.5" customHeight="1" x14ac:dyDescent="0.25">
      <c r="A97" s="483">
        <f>+A96+1</f>
        <v>74</v>
      </c>
      <c r="C97" s="819"/>
      <c r="D97" s="558">
        <v>5361</v>
      </c>
      <c r="E97" s="522" t="s">
        <v>70</v>
      </c>
      <c r="F97" s="543" t="str">
        <f>+VLOOKUP(E97,'Base Indicadores 1'!$B$7:$AM$85,10,0)</f>
        <v>Estudiantes indígenas</v>
      </c>
      <c r="G97" s="519" t="str">
        <f>+VLOOKUP(E97,'Base Indicadores 1'!$B$7:$AL$85,8,0)</f>
        <v>Anual</v>
      </c>
      <c r="H97" s="520" t="str">
        <f>+VLOOKUP(E97,'Base Indicadores 1'!$B$7:$AL$85,9,0)</f>
        <v>Acumulado</v>
      </c>
      <c r="I97" s="549">
        <f>+VLOOKUP(E97,'Base Indicadores 1'!$B$7:$AM$85,12,0)</f>
        <v>1300</v>
      </c>
      <c r="J97" s="694">
        <f>+VLOOKUP(E97,'Base Indicadores 1'!$B$7:$AM$85,11,0)</f>
        <v>8000</v>
      </c>
      <c r="K97" s="687">
        <f>+VLOOKUP(E97,'Base Indicadores 1'!$B$7:$AM$85,32,0)</f>
        <v>2890</v>
      </c>
      <c r="L97" s="683">
        <f>+VLOOKUP(E97,'Base Indicadores 1'!$B$7:$AM$85,35,0)</f>
        <v>0.36125000000000002</v>
      </c>
      <c r="M97" s="684" t="str">
        <f>VLOOKUP(E97,'Base Indicadores 1'!$B$7:$AM$85,36,0)</f>
        <v>dato a mayo 2018:3905; se toma como referencia el anual 2017</v>
      </c>
      <c r="N97" s="521" t="s">
        <v>348</v>
      </c>
      <c r="O97" s="539">
        <f>+L97</f>
        <v>0.36125000000000002</v>
      </c>
    </row>
    <row r="98" spans="1:15" ht="40.5" customHeight="1" x14ac:dyDescent="0.25">
      <c r="A98" s="483">
        <f t="shared" si="2"/>
        <v>75</v>
      </c>
      <c r="C98" s="819" t="s">
        <v>135</v>
      </c>
      <c r="D98" s="558">
        <v>4462</v>
      </c>
      <c r="E98" s="518" t="s">
        <v>59</v>
      </c>
      <c r="F98" s="543" t="str">
        <f>+VLOOKUP(E98,'Base Indicadores 1'!$B$7:$AM$85,10,0)</f>
        <v>Porcentaje</v>
      </c>
      <c r="G98" s="519" t="str">
        <f>+VLOOKUP(E98,'Base Indicadores 1'!$B$7:$AL$85,8,0)</f>
        <v>Semestral</v>
      </c>
      <c r="H98" s="520" t="str">
        <f>+VLOOKUP(E98,'Base Indicadores 1'!$B$7:$AL$85,9,0)</f>
        <v>Flujo</v>
      </c>
      <c r="I98" s="548">
        <f>+VLOOKUP(E98,'Base Indicadores 1'!$B$7:$AM$85,12,0)</f>
        <v>0.39</v>
      </c>
      <c r="J98" s="685">
        <f>+VLOOKUP(E98,'Base Indicadores 1'!$B$7:$AM$85,11,0)</f>
        <v>0.6</v>
      </c>
      <c r="K98" s="682">
        <f>+VLOOKUP(E98,'Base Indicadores 1'!$B$7:$AM$85,32,0)</f>
        <v>0.84440000000000004</v>
      </c>
      <c r="L98" s="683">
        <f>+VLOOKUP(E98,'Base Indicadores 1'!$B$7:$AM$85,35,0)</f>
        <v>1.4073333333333335</v>
      </c>
      <c r="M98" s="684" t="str">
        <f>VLOOKUP(E98,'Base Indicadores 1'!$B$7:$AM$85,36,0)</f>
        <v>Reporte a diciembre 2018</v>
      </c>
      <c r="N98" s="521"/>
      <c r="O98" s="538">
        <f t="shared" si="1"/>
        <v>1</v>
      </c>
    </row>
    <row r="99" spans="1:15" ht="40.5" customHeight="1" x14ac:dyDescent="0.25">
      <c r="A99" s="483">
        <f t="shared" si="2"/>
        <v>76</v>
      </c>
      <c r="C99" s="819"/>
      <c r="D99" s="558">
        <v>4461</v>
      </c>
      <c r="E99" s="518" t="s">
        <v>181</v>
      </c>
      <c r="F99" s="543" t="str">
        <f>+VLOOKUP(E99,'Base Indicadores 1'!$B$7:$AM$85,10,0)</f>
        <v>Estudiantes</v>
      </c>
      <c r="G99" s="519" t="str">
        <f>+VLOOKUP(E99,'Base Indicadores 1'!$B$7:$AL$85,8,0)</f>
        <v>Semestral</v>
      </c>
      <c r="H99" s="520" t="str">
        <f>+VLOOKUP(E99,'Base Indicadores 1'!$B$7:$AL$85,9,0)</f>
        <v>Acumulado</v>
      </c>
      <c r="I99" s="549">
        <f>+VLOOKUP(E99,'Base Indicadores 1'!$B$7:$AM$85,12,0)</f>
        <v>23067</v>
      </c>
      <c r="J99" s="694">
        <f>+VLOOKUP(E99,'Base Indicadores 1'!$B$7:$AM$85,11,0)</f>
        <v>125000</v>
      </c>
      <c r="K99" s="687">
        <f>+VLOOKUP(E99,'Base Indicadores 1'!$B$7:$AM$85,32,0)</f>
        <v>87240</v>
      </c>
      <c r="L99" s="683">
        <f>+VLOOKUP(E99,'Base Indicadores 1'!$B$7:$AM$85,35,0)</f>
        <v>0.69791999999999998</v>
      </c>
      <c r="M99" s="684" t="str">
        <f>VLOOKUP(E99,'Base Indicadores 1'!$B$7:$AM$85,36,0)</f>
        <v>Reporte a diciembre 2018</v>
      </c>
      <c r="N99" s="521" t="s">
        <v>348</v>
      </c>
      <c r="O99" s="538">
        <f t="shared" si="1"/>
        <v>0.69791999999999998</v>
      </c>
    </row>
    <row r="100" spans="1:15" ht="48.75" customHeight="1" thickBot="1" x14ac:dyDescent="0.3">
      <c r="A100" s="483">
        <f t="shared" si="2"/>
        <v>77</v>
      </c>
      <c r="C100" s="820"/>
      <c r="D100" s="559">
        <v>4447</v>
      </c>
      <c r="E100" s="533" t="s">
        <v>47</v>
      </c>
      <c r="F100" s="550" t="str">
        <f>+VLOOKUP(E100,'Base Indicadores 1'!$B$7:$AM$85,10,0)</f>
        <v>Estudiantes</v>
      </c>
      <c r="G100" s="530" t="str">
        <f>+VLOOKUP(E100,'Base Indicadores 1'!$B$7:$AL$85,8,0)</f>
        <v>Semestral</v>
      </c>
      <c r="H100" s="534" t="str">
        <f>+VLOOKUP(E100,'Base Indicadores 1'!$B$7:$AL$85,9,0)</f>
        <v>Capacidad</v>
      </c>
      <c r="I100" s="551">
        <f>+VLOOKUP(E100,'Base Indicadores 1'!$B$7:$AM$85,12,0)</f>
        <v>117</v>
      </c>
      <c r="J100" s="764">
        <f>+VLOOKUP(E100,'Base Indicadores 1'!$B$7:$AM$85,11,0)</f>
        <v>2000</v>
      </c>
      <c r="K100" s="765">
        <f>+VLOOKUP(E100,'Base Indicadores 1'!$B$7:$AM$85,32,0)</f>
        <v>814</v>
      </c>
      <c r="L100" s="766">
        <f>+VLOOKUP(E100,'Base Indicadores 1'!$B$7:$AM$85,35,0)</f>
        <v>0.37015400955921401</v>
      </c>
      <c r="M100" s="779" t="str">
        <f>VLOOKUP(E100,'Base Indicadores 1'!$B$7:$AM$85,36,0)</f>
        <v>Reporte a diciembre 2017
Pendiente cargue junio y dic 2018</v>
      </c>
      <c r="N100" s="540" t="s">
        <v>348</v>
      </c>
      <c r="O100" s="541">
        <f t="shared" si="1"/>
        <v>0.37015400955921401</v>
      </c>
    </row>
    <row r="101" spans="1:15" s="478" customFormat="1" ht="24" customHeight="1" thickBot="1" x14ac:dyDescent="0.3">
      <c r="A101" s="512"/>
      <c r="C101" s="479"/>
      <c r="D101" s="479"/>
      <c r="E101" s="479"/>
      <c r="F101" s="479"/>
      <c r="H101" s="514"/>
      <c r="I101" s="783"/>
      <c r="J101" s="783"/>
      <c r="K101" s="811" t="s">
        <v>328</v>
      </c>
      <c r="L101" s="812"/>
      <c r="M101" s="812"/>
      <c r="N101" s="813"/>
      <c r="O101" s="515">
        <f>+AVERAGE(O78:O96,O98:O100)</f>
        <v>0.73156784421506904</v>
      </c>
    </row>
    <row r="102" spans="1:15" s="478" customFormat="1" ht="24" customHeight="1" thickBot="1" x14ac:dyDescent="0.3">
      <c r="A102" s="512"/>
      <c r="C102" s="479"/>
      <c r="D102" s="479"/>
      <c r="E102" s="479"/>
      <c r="F102" s="479"/>
      <c r="G102" s="480"/>
      <c r="H102" s="481"/>
      <c r="I102" s="481"/>
      <c r="J102" s="786"/>
      <c r="K102" s="784"/>
      <c r="L102" s="482"/>
      <c r="M102" s="482"/>
      <c r="N102" s="513"/>
      <c r="O102" s="513"/>
    </row>
    <row r="103" spans="1:15" s="478" customFormat="1" ht="24" customHeight="1" thickBot="1" x14ac:dyDescent="0.3">
      <c r="A103" s="512"/>
      <c r="C103" s="511" t="s">
        <v>320</v>
      </c>
      <c r="D103" s="485" t="s">
        <v>281</v>
      </c>
      <c r="F103" s="546"/>
      <c r="G103" s="376"/>
      <c r="H103" s="476"/>
      <c r="I103" s="476"/>
      <c r="J103" s="476"/>
      <c r="K103" s="483"/>
      <c r="L103" s="477"/>
      <c r="M103" s="376"/>
      <c r="N103" s="377"/>
      <c r="O103" s="377"/>
    </row>
    <row r="104" spans="1:15" s="478" customFormat="1" ht="24" customHeight="1" thickBot="1" x14ac:dyDescent="0.3">
      <c r="A104" s="512"/>
      <c r="C104" s="376"/>
      <c r="D104" s="376"/>
      <c r="E104" s="475"/>
      <c r="F104" s="475"/>
      <c r="G104" s="476"/>
      <c r="H104" s="476"/>
      <c r="I104" s="476"/>
      <c r="J104" s="476"/>
      <c r="K104" s="483"/>
      <c r="L104" s="477"/>
      <c r="M104" s="376"/>
      <c r="N104" s="377"/>
      <c r="O104" s="377"/>
    </row>
    <row r="105" spans="1:15" s="478" customFormat="1" ht="48.75" customHeight="1" thickBot="1" x14ac:dyDescent="0.3">
      <c r="A105" s="512"/>
      <c r="C105" s="487" t="s">
        <v>322</v>
      </c>
      <c r="D105" s="547" t="s">
        <v>357</v>
      </c>
      <c r="E105" s="488" t="s">
        <v>317</v>
      </c>
      <c r="F105" s="547" t="s">
        <v>318</v>
      </c>
      <c r="G105" s="528" t="s">
        <v>355</v>
      </c>
      <c r="H105" s="528" t="s">
        <v>319</v>
      </c>
      <c r="I105" s="544" t="s">
        <v>354</v>
      </c>
      <c r="J105" s="544" t="s">
        <v>324</v>
      </c>
      <c r="K105" s="487" t="s">
        <v>321</v>
      </c>
      <c r="L105" s="489" t="s">
        <v>325</v>
      </c>
      <c r="M105" s="488" t="s">
        <v>326</v>
      </c>
      <c r="N105" s="488" t="s">
        <v>85</v>
      </c>
      <c r="O105" s="490" t="s">
        <v>353</v>
      </c>
    </row>
    <row r="106" spans="1:15" ht="48.75" customHeight="1" thickBot="1" x14ac:dyDescent="0.3">
      <c r="A106" s="483">
        <f>+A100+1</f>
        <v>78</v>
      </c>
      <c r="C106" s="523" t="s">
        <v>132</v>
      </c>
      <c r="D106" s="561">
        <v>4440</v>
      </c>
      <c r="E106" s="524" t="s">
        <v>46</v>
      </c>
      <c r="F106" s="552" t="str">
        <f>+VLOOKUP(E106,'Base Indicadores 1'!$B$7:$AM$85,10,0)</f>
        <v>Porcentaje</v>
      </c>
      <c r="G106" s="524" t="str">
        <f>+VLOOKUP(E106,'Base Indicadores 1'!$B$7:$AL$85,8,0)</f>
        <v>Mensual</v>
      </c>
      <c r="H106" s="525" t="str">
        <f>+VLOOKUP(E106,'Base Indicadores 1'!$B$7:$AL$85,9,0)</f>
        <v>Flujo</v>
      </c>
      <c r="I106" s="527">
        <f>+VLOOKUP(E106,'Base Indicadores 1'!$B$7:$AM$85,12,0)</f>
        <v>0.68</v>
      </c>
      <c r="J106" s="685">
        <f>+VLOOKUP(E106,'Base Indicadores 1'!$B$7:$AM$85,11,0)</f>
        <v>0.9</v>
      </c>
      <c r="K106" s="682">
        <f>+VLOOKUP(E106,'Base Indicadores 1'!$B$7:$AM$85,32,0)</f>
        <v>0.62050000000000005</v>
      </c>
      <c r="L106" s="683">
        <f>+VLOOKUP(E106,'Base Indicadores 1'!$B$7:$AM$85,35,0)</f>
        <v>0.68944444444444453</v>
      </c>
      <c r="M106" s="684" t="str">
        <f>VLOOKUP(E106,'Base Indicadores 1'!$B$7:$AM$85,36,0)</f>
        <v>Reporte a Diciembre 2018</v>
      </c>
      <c r="N106" s="524" t="s">
        <v>348</v>
      </c>
      <c r="O106" s="526">
        <f t="shared" ref="O106" si="3">+IF(L106&gt;100%,100%,L106)</f>
        <v>0.68944444444444453</v>
      </c>
    </row>
    <row r="107" spans="1:15" ht="24" customHeight="1" thickBot="1" x14ac:dyDescent="0.3">
      <c r="C107" s="833" t="s">
        <v>467</v>
      </c>
      <c r="H107" s="514"/>
      <c r="I107" s="783"/>
      <c r="J107" s="783"/>
      <c r="K107" s="811" t="s">
        <v>329</v>
      </c>
      <c r="L107" s="812"/>
      <c r="M107" s="812"/>
      <c r="N107" s="813"/>
      <c r="O107" s="517">
        <f>+O106</f>
        <v>0.68944444444444453</v>
      </c>
    </row>
    <row r="108" spans="1:15" ht="24" customHeight="1" thickBot="1" x14ac:dyDescent="0.3">
      <c r="C108" s="832" t="s">
        <v>466</v>
      </c>
      <c r="D108" s="832"/>
      <c r="E108" s="832"/>
      <c r="F108" s="832"/>
    </row>
    <row r="109" spans="1:15" ht="24" customHeight="1" thickBot="1" x14ac:dyDescent="0.35">
      <c r="C109" s="832"/>
      <c r="D109" s="832"/>
      <c r="E109" s="832"/>
      <c r="F109" s="832"/>
      <c r="G109" s="816" t="s">
        <v>465</v>
      </c>
      <c r="H109" s="817"/>
      <c r="I109" s="817"/>
      <c r="J109" s="817"/>
      <c r="K109" s="817"/>
      <c r="L109" s="817"/>
      <c r="M109" s="817"/>
      <c r="N109" s="817"/>
      <c r="O109" s="516">
        <f>+AVERAGE(O19:O36,O37:O67,O71:O72,O78:O96,O98:O100,O106)</f>
        <v>0.75551963561589142</v>
      </c>
    </row>
  </sheetData>
  <autoFilter ref="A18:O72" xr:uid="{CBB82B82-BFD4-40D9-BB60-B008F47C0180}"/>
  <mergeCells count="22">
    <mergeCell ref="K101:N101"/>
    <mergeCell ref="K107:N107"/>
    <mergeCell ref="G109:N109"/>
    <mergeCell ref="C67:C70"/>
    <mergeCell ref="C71:C72"/>
    <mergeCell ref="C79:C97"/>
    <mergeCell ref="C98:C100"/>
    <mergeCell ref="K76:O76"/>
    <mergeCell ref="C108:F109"/>
    <mergeCell ref="K17:O17"/>
    <mergeCell ref="C4:O4"/>
    <mergeCell ref="C6:O6"/>
    <mergeCell ref="B8:O8"/>
    <mergeCell ref="K73:N73"/>
    <mergeCell ref="C32:C33"/>
    <mergeCell ref="C34:C37"/>
    <mergeCell ref="C38:C57"/>
    <mergeCell ref="C58:C60"/>
    <mergeCell ref="C61:C64"/>
    <mergeCell ref="C65:C66"/>
    <mergeCell ref="C19:C27"/>
    <mergeCell ref="C28:C31"/>
  </mergeCells>
  <conditionalFormatting sqref="L102 L74">
    <cfRule type="iconSet" priority="19">
      <iconSet iconSet="3TrafficLights2">
        <cfvo type="percent" val="0"/>
        <cfvo type="num" val="0.9"/>
        <cfvo type="num" val="1"/>
      </iconSet>
    </cfRule>
  </conditionalFormatting>
  <conditionalFormatting sqref="M102 M74 M19:M72">
    <cfRule type="iconSet" priority="20">
      <iconSet iconSet="3TrafficLights2">
        <cfvo type="percent" val="0"/>
        <cfvo type="num" val="0.75"/>
        <cfvo type="num" val="0.9"/>
      </iconSet>
    </cfRule>
  </conditionalFormatting>
  <conditionalFormatting sqref="L19:L72">
    <cfRule type="iconSet" priority="21">
      <iconSet iconSet="4Arrows">
        <cfvo type="percent" val="0"/>
        <cfvo type="num" val="0.7"/>
        <cfvo type="num" val="0.8"/>
        <cfvo type="num" val="0.9"/>
      </iconSet>
    </cfRule>
  </conditionalFormatting>
  <conditionalFormatting sqref="M10">
    <cfRule type="iconSet" priority="7">
      <iconSet iconSet="4Arrows" showValue="0">
        <cfvo type="percent" val="0"/>
        <cfvo type="num" val="0.7"/>
        <cfvo type="num" val="0.8"/>
        <cfvo type="num" val="0.9"/>
      </iconSet>
    </cfRule>
  </conditionalFormatting>
  <conditionalFormatting sqref="M14:O14 M11:M13">
    <cfRule type="iconSet" priority="6">
      <iconSet iconSet="4Arrows" showValue="0">
        <cfvo type="percent" val="0"/>
        <cfvo type="num" val="0.7"/>
        <cfvo type="num" val="0.8"/>
        <cfvo type="num" val="0.9"/>
      </iconSet>
    </cfRule>
  </conditionalFormatting>
  <conditionalFormatting sqref="L78:L100">
    <cfRule type="iconSet" priority="4">
      <iconSet iconSet="4Arrows">
        <cfvo type="percent" val="0"/>
        <cfvo type="num" val="0.7"/>
        <cfvo type="num" val="0.8"/>
        <cfvo type="num" val="0.9"/>
      </iconSet>
    </cfRule>
  </conditionalFormatting>
  <conditionalFormatting sqref="M78:M100">
    <cfRule type="iconSet" priority="3">
      <iconSet iconSet="3TrafficLights2">
        <cfvo type="percent" val="0"/>
        <cfvo type="num" val="0.75"/>
        <cfvo type="num" val="0.9"/>
      </iconSet>
    </cfRule>
  </conditionalFormatting>
  <conditionalFormatting sqref="L106">
    <cfRule type="iconSet" priority="2">
      <iconSet iconSet="4Arrows">
        <cfvo type="percent" val="0"/>
        <cfvo type="num" val="0.7"/>
        <cfvo type="num" val="0.8"/>
        <cfvo type="num" val="0.9"/>
      </iconSet>
    </cfRule>
  </conditionalFormatting>
  <conditionalFormatting sqref="M106">
    <cfRule type="iconSet" priority="1">
      <iconSet iconSet="3TrafficLights2">
        <cfvo type="percent" val="0"/>
        <cfvo type="num" val="0.75"/>
        <cfvo type="num" val="0.9"/>
      </iconSet>
    </cfRule>
  </conditionalFormatting>
  <printOptions horizontalCentered="1"/>
  <pageMargins left="0.43307086614173229" right="0.43307086614173229" top="0.74803149606299213" bottom="0.74803149606299213" header="0.31496062992125984" footer="0.31496062992125984"/>
  <pageSetup scale="41" fitToHeight="0" orientation="portrait" r:id="rId1"/>
  <rowBreaks count="2" manualBreakCount="2">
    <brk id="48" min="1" max="14" man="1"/>
    <brk id="73" min="1" max="1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4:E14"/>
  <sheetViews>
    <sheetView workbookViewId="0">
      <selection activeCell="C26" sqref="C26"/>
    </sheetView>
  </sheetViews>
  <sheetFormatPr baseColWidth="10" defaultRowHeight="15" x14ac:dyDescent="0.25"/>
  <cols>
    <col min="2" max="2" width="45" customWidth="1"/>
    <col min="3" max="4" width="11.42578125" style="562"/>
    <col min="5" max="5" width="60.7109375" customWidth="1"/>
  </cols>
  <sheetData>
    <row r="4" spans="2:5" x14ac:dyDescent="0.25">
      <c r="B4" s="567" t="s">
        <v>365</v>
      </c>
      <c r="C4" s="567">
        <v>2007</v>
      </c>
      <c r="D4" s="567">
        <v>2017</v>
      </c>
    </row>
    <row r="5" spans="2:5" x14ac:dyDescent="0.25">
      <c r="B5" s="563" t="s">
        <v>359</v>
      </c>
      <c r="C5" s="564">
        <v>9170199</v>
      </c>
      <c r="D5" s="564">
        <v>7296553</v>
      </c>
    </row>
    <row r="6" spans="2:5" x14ac:dyDescent="0.25">
      <c r="B6" s="563" t="s">
        <v>361</v>
      </c>
      <c r="C6" s="565">
        <v>0</v>
      </c>
      <c r="D6" s="564">
        <v>730411</v>
      </c>
    </row>
    <row r="7" spans="2:5" x14ac:dyDescent="0.25">
      <c r="B7" s="563" t="s">
        <v>360</v>
      </c>
      <c r="C7" s="566">
        <v>5.5500000000000001E-2</v>
      </c>
      <c r="D7" s="566">
        <v>3.0800000000000001E-2</v>
      </c>
    </row>
    <row r="8" spans="2:5" ht="30" x14ac:dyDescent="0.25">
      <c r="B8" s="563" t="s">
        <v>10</v>
      </c>
      <c r="C8" s="566">
        <v>6.9000000000000006E-2</v>
      </c>
      <c r="D8" s="566">
        <v>5.2400000000000002E-2</v>
      </c>
    </row>
    <row r="9" spans="2:5" ht="30" x14ac:dyDescent="0.25">
      <c r="B9" s="563" t="s">
        <v>363</v>
      </c>
      <c r="C9" s="568">
        <v>7.97</v>
      </c>
      <c r="D9" s="569">
        <v>8.91</v>
      </c>
    </row>
    <row r="10" spans="2:5" x14ac:dyDescent="0.25">
      <c r="B10" s="563" t="s">
        <v>362</v>
      </c>
      <c r="C10" s="565" t="s">
        <v>370</v>
      </c>
      <c r="D10" s="566">
        <v>0.42370000000000002</v>
      </c>
      <c r="E10" t="s">
        <v>369</v>
      </c>
    </row>
    <row r="11" spans="2:5" x14ac:dyDescent="0.25">
      <c r="B11" s="563" t="s">
        <v>358</v>
      </c>
      <c r="C11" s="566" t="s">
        <v>370</v>
      </c>
      <c r="D11" s="565" t="s">
        <v>370</v>
      </c>
    </row>
    <row r="12" spans="2:5" ht="30" x14ac:dyDescent="0.25">
      <c r="B12" s="563" t="s">
        <v>367</v>
      </c>
      <c r="C12" s="564">
        <v>4956</v>
      </c>
      <c r="D12" s="564">
        <v>6958</v>
      </c>
      <c r="E12" s="473" t="s">
        <v>368</v>
      </c>
    </row>
    <row r="13" spans="2:5" x14ac:dyDescent="0.25">
      <c r="B13" s="563" t="s">
        <v>364</v>
      </c>
      <c r="C13" s="566">
        <v>0.316</v>
      </c>
      <c r="D13" s="566">
        <v>0.52800000000000002</v>
      </c>
    </row>
    <row r="14" spans="2:5" ht="30" x14ac:dyDescent="0.25">
      <c r="B14" s="563" t="s">
        <v>366</v>
      </c>
      <c r="C14" s="565" t="s">
        <v>370</v>
      </c>
      <c r="D14" s="564">
        <v>13415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3:H14"/>
  <sheetViews>
    <sheetView zoomScale="150" zoomScaleNormal="150" workbookViewId="0">
      <selection activeCell="B8" sqref="B8:B9"/>
    </sheetView>
  </sheetViews>
  <sheetFormatPr baseColWidth="10" defaultRowHeight="14.25" x14ac:dyDescent="0.2"/>
  <cols>
    <col min="1" max="1" width="11.42578125" style="335"/>
    <col min="2" max="2" width="14.85546875" style="335" customWidth="1"/>
    <col min="3" max="3" width="11.28515625" style="335" customWidth="1"/>
    <col min="4" max="4" width="14.28515625" style="335" customWidth="1"/>
    <col min="5" max="5" width="13.7109375" style="335" customWidth="1"/>
    <col min="6" max="6" width="11.140625" style="335" customWidth="1"/>
    <col min="7" max="7" width="14.140625" style="335" customWidth="1"/>
    <col min="8" max="8" width="12.28515625" style="335" customWidth="1"/>
    <col min="9" max="16384" width="11.42578125" style="335"/>
  </cols>
  <sheetData>
    <row r="3" spans="2:8" ht="57" x14ac:dyDescent="0.2">
      <c r="B3" s="334"/>
      <c r="C3" s="334" t="s">
        <v>167</v>
      </c>
      <c r="D3" s="334" t="s">
        <v>168</v>
      </c>
      <c r="E3" s="334" t="s">
        <v>169</v>
      </c>
      <c r="F3" s="334" t="s">
        <v>170</v>
      </c>
    </row>
    <row r="4" spans="2:8" x14ac:dyDescent="0.2">
      <c r="B4" s="336" t="s">
        <v>165</v>
      </c>
      <c r="C4" s="337">
        <v>5</v>
      </c>
      <c r="D4" s="337">
        <v>15</v>
      </c>
      <c r="E4" s="337">
        <v>34</v>
      </c>
      <c r="F4" s="337">
        <f>+SUM(C4:E4)</f>
        <v>54</v>
      </c>
    </row>
    <row r="5" spans="2:8" x14ac:dyDescent="0.2">
      <c r="B5" s="336" t="s">
        <v>166</v>
      </c>
      <c r="C5" s="337">
        <v>0</v>
      </c>
      <c r="D5" s="337">
        <v>6</v>
      </c>
      <c r="E5" s="337">
        <v>18</v>
      </c>
      <c r="F5" s="337">
        <f>+SUM(C5:E5)</f>
        <v>24</v>
      </c>
    </row>
    <row r="6" spans="2:8" x14ac:dyDescent="0.2">
      <c r="B6" s="338" t="s">
        <v>171</v>
      </c>
      <c r="C6" s="339">
        <f>SUM(C4:C5)</f>
        <v>5</v>
      </c>
      <c r="D6" s="339">
        <f t="shared" ref="D6:F6" si="0">SUM(D4:D5)</f>
        <v>21</v>
      </c>
      <c r="E6" s="339">
        <f t="shared" si="0"/>
        <v>52</v>
      </c>
      <c r="F6" s="339">
        <f t="shared" si="0"/>
        <v>78</v>
      </c>
    </row>
    <row r="7" spans="2:8" ht="15" thickBot="1" x14ac:dyDescent="0.25"/>
    <row r="8" spans="2:8" x14ac:dyDescent="0.2">
      <c r="B8" s="823" t="s">
        <v>287</v>
      </c>
      <c r="C8" s="821" t="s">
        <v>284</v>
      </c>
      <c r="D8" s="821"/>
      <c r="E8" s="822"/>
      <c r="F8" s="825" t="s">
        <v>289</v>
      </c>
      <c r="G8" s="821"/>
      <c r="H8" s="822"/>
    </row>
    <row r="9" spans="2:8" ht="39" thickBot="1" x14ac:dyDescent="0.25">
      <c r="B9" s="824"/>
      <c r="C9" s="352" t="s">
        <v>285</v>
      </c>
      <c r="D9" s="352" t="s">
        <v>286</v>
      </c>
      <c r="E9" s="353" t="s">
        <v>288</v>
      </c>
      <c r="F9" s="354" t="s">
        <v>285</v>
      </c>
      <c r="G9" s="352" t="s">
        <v>286</v>
      </c>
      <c r="H9" s="353" t="s">
        <v>288</v>
      </c>
    </row>
    <row r="10" spans="2:8" x14ac:dyDescent="0.2">
      <c r="B10" s="346" t="s">
        <v>165</v>
      </c>
      <c r="C10" s="347">
        <v>54</v>
      </c>
      <c r="D10" s="347">
        <v>43</v>
      </c>
      <c r="E10" s="348">
        <v>11</v>
      </c>
      <c r="F10" s="349">
        <v>14</v>
      </c>
      <c r="G10" s="350">
        <v>11</v>
      </c>
      <c r="H10" s="351">
        <v>3</v>
      </c>
    </row>
    <row r="11" spans="2:8" x14ac:dyDescent="0.2">
      <c r="B11" s="342" t="s">
        <v>282</v>
      </c>
      <c r="C11" s="340">
        <v>23</v>
      </c>
      <c r="D11" s="340">
        <v>12</v>
      </c>
      <c r="E11" s="343">
        <v>11</v>
      </c>
      <c r="F11" s="344">
        <v>6</v>
      </c>
      <c r="G11" s="341">
        <v>6</v>
      </c>
      <c r="H11" s="345">
        <v>0</v>
      </c>
    </row>
    <row r="12" spans="2:8" ht="15" thickBot="1" x14ac:dyDescent="0.25">
      <c r="B12" s="355" t="s">
        <v>283</v>
      </c>
      <c r="C12" s="356">
        <v>1</v>
      </c>
      <c r="D12" s="356">
        <v>1</v>
      </c>
      <c r="E12" s="357">
        <v>0</v>
      </c>
      <c r="F12" s="358">
        <v>0</v>
      </c>
      <c r="G12" s="359">
        <v>0</v>
      </c>
      <c r="H12" s="360">
        <v>0</v>
      </c>
    </row>
    <row r="13" spans="2:8" ht="15" thickBot="1" x14ac:dyDescent="0.25">
      <c r="B13" s="361" t="s">
        <v>285</v>
      </c>
      <c r="C13" s="362">
        <f>SUM(C10:C12)</f>
        <v>78</v>
      </c>
      <c r="D13" s="362">
        <f>SUM(D10:D12)</f>
        <v>56</v>
      </c>
      <c r="E13" s="363">
        <f>SUM(E10:E12)</f>
        <v>22</v>
      </c>
      <c r="F13" s="364">
        <f t="shared" ref="F13:H13" si="1">SUM(F10:F12)</f>
        <v>20</v>
      </c>
      <c r="G13" s="362">
        <f t="shared" si="1"/>
        <v>17</v>
      </c>
      <c r="H13" s="363">
        <f t="shared" si="1"/>
        <v>3</v>
      </c>
    </row>
    <row r="14" spans="2:8" ht="15" thickBot="1" x14ac:dyDescent="0.25">
      <c r="B14" s="826"/>
      <c r="C14" s="827"/>
      <c r="D14" s="365">
        <f>+D13/C13</f>
        <v>0.71794871794871795</v>
      </c>
      <c r="E14" s="366">
        <f>+E13/C13</f>
        <v>0.28205128205128205</v>
      </c>
      <c r="F14" s="828"/>
      <c r="G14" s="826"/>
      <c r="H14" s="826"/>
    </row>
  </sheetData>
  <mergeCells count="5">
    <mergeCell ref="C8:E8"/>
    <mergeCell ref="B8:B9"/>
    <mergeCell ref="F8:H8"/>
    <mergeCell ref="B14:C14"/>
    <mergeCell ref="F14:H1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3:C51"/>
  <sheetViews>
    <sheetView zoomScaleNormal="100" workbookViewId="0">
      <selection activeCell="B8" sqref="B8:B9"/>
    </sheetView>
  </sheetViews>
  <sheetFormatPr baseColWidth="10" defaultRowHeight="15" x14ac:dyDescent="0.25"/>
  <cols>
    <col min="1" max="1" width="57.85546875" bestFit="1" customWidth="1"/>
    <col min="2" max="2" width="30.140625" bestFit="1" customWidth="1"/>
    <col min="3" max="3" width="38.85546875" bestFit="1" customWidth="1"/>
    <col min="4" max="4" width="40.7109375" customWidth="1"/>
    <col min="5" max="5" width="18.140625" customWidth="1"/>
    <col min="6" max="7" width="18.42578125" customWidth="1"/>
    <col min="8" max="8" width="35.140625" bestFit="1" customWidth="1"/>
    <col min="9" max="9" width="21.42578125" bestFit="1" customWidth="1"/>
  </cols>
  <sheetData>
    <row r="3" spans="1:2" x14ac:dyDescent="0.25">
      <c r="A3" s="97" t="s">
        <v>150</v>
      </c>
      <c r="B3" t="s">
        <v>152</v>
      </c>
    </row>
    <row r="4" spans="1:2" x14ac:dyDescent="0.25">
      <c r="A4" s="98" t="s">
        <v>101</v>
      </c>
      <c r="B4" s="100">
        <v>54</v>
      </c>
    </row>
    <row r="5" spans="1:2" ht="30" x14ac:dyDescent="0.25">
      <c r="A5" s="139" t="s">
        <v>136</v>
      </c>
      <c r="B5" s="100">
        <v>2</v>
      </c>
    </row>
    <row r="6" spans="1:2" x14ac:dyDescent="0.25">
      <c r="A6" s="139" t="s">
        <v>127</v>
      </c>
      <c r="B6" s="100">
        <v>9</v>
      </c>
    </row>
    <row r="7" spans="1:2" x14ac:dyDescent="0.25">
      <c r="A7" s="139" t="s">
        <v>130</v>
      </c>
      <c r="B7" s="100">
        <v>4</v>
      </c>
    </row>
    <row r="8" spans="1:2" x14ac:dyDescent="0.25">
      <c r="A8" s="139" t="s">
        <v>129</v>
      </c>
      <c r="B8" s="100">
        <v>2</v>
      </c>
    </row>
    <row r="9" spans="1:2" ht="30" x14ac:dyDescent="0.25">
      <c r="A9" s="139" t="s">
        <v>128</v>
      </c>
      <c r="B9" s="100">
        <v>1</v>
      </c>
    </row>
    <row r="10" spans="1:2" x14ac:dyDescent="0.25">
      <c r="A10" s="139" t="s">
        <v>123</v>
      </c>
      <c r="B10" s="100">
        <v>20</v>
      </c>
    </row>
    <row r="11" spans="1:2" x14ac:dyDescent="0.25">
      <c r="A11" s="139" t="s">
        <v>125</v>
      </c>
      <c r="B11" s="140">
        <v>2</v>
      </c>
    </row>
    <row r="12" spans="1:2" x14ac:dyDescent="0.25">
      <c r="A12" s="139" t="s">
        <v>137</v>
      </c>
      <c r="B12" s="100">
        <v>4</v>
      </c>
    </row>
    <row r="13" spans="1:2" x14ac:dyDescent="0.25">
      <c r="A13" s="139" t="s">
        <v>124</v>
      </c>
      <c r="B13" s="100">
        <v>3</v>
      </c>
    </row>
    <row r="14" spans="1:2" x14ac:dyDescent="0.25">
      <c r="A14" s="139" t="s">
        <v>138</v>
      </c>
      <c r="B14" s="140">
        <v>3</v>
      </c>
    </row>
    <row r="15" spans="1:2" x14ac:dyDescent="0.25">
      <c r="A15" s="139" t="s">
        <v>126</v>
      </c>
      <c r="B15" s="100">
        <v>4</v>
      </c>
    </row>
    <row r="16" spans="1:2" x14ac:dyDescent="0.25">
      <c r="A16" s="101" t="s">
        <v>99</v>
      </c>
      <c r="B16" s="100">
        <v>23</v>
      </c>
    </row>
    <row r="17" spans="1:3" x14ac:dyDescent="0.25">
      <c r="A17" s="99" t="s">
        <v>134</v>
      </c>
      <c r="B17" s="100">
        <v>1</v>
      </c>
    </row>
    <row r="18" spans="1:3" x14ac:dyDescent="0.25">
      <c r="A18" s="99" t="s">
        <v>131</v>
      </c>
      <c r="B18" s="100">
        <v>19</v>
      </c>
    </row>
    <row r="19" spans="1:3" x14ac:dyDescent="0.25">
      <c r="A19" s="99" t="s">
        <v>133</v>
      </c>
      <c r="B19" s="100">
        <v>1</v>
      </c>
    </row>
    <row r="20" spans="1:3" x14ac:dyDescent="0.25">
      <c r="A20" s="99" t="s">
        <v>135</v>
      </c>
      <c r="B20" s="100">
        <v>2</v>
      </c>
    </row>
    <row r="21" spans="1:3" x14ac:dyDescent="0.25">
      <c r="A21" s="98" t="s">
        <v>281</v>
      </c>
      <c r="B21" s="100">
        <v>1</v>
      </c>
    </row>
    <row r="22" spans="1:3" x14ac:dyDescent="0.25">
      <c r="A22" s="99" t="s">
        <v>132</v>
      </c>
      <c r="B22" s="100">
        <v>1</v>
      </c>
    </row>
    <row r="23" spans="1:3" x14ac:dyDescent="0.25">
      <c r="A23" s="98" t="s">
        <v>151</v>
      </c>
      <c r="B23" s="100">
        <v>78</v>
      </c>
    </row>
    <row r="25" spans="1:3" x14ac:dyDescent="0.25">
      <c r="A25" s="97" t="s">
        <v>100</v>
      </c>
      <c r="B25" t="s">
        <v>99</v>
      </c>
    </row>
    <row r="27" spans="1:3" x14ac:dyDescent="0.25">
      <c r="A27" s="97" t="s">
        <v>150</v>
      </c>
      <c r="B27" s="97" t="s">
        <v>83</v>
      </c>
      <c r="C27" t="s">
        <v>155</v>
      </c>
    </row>
    <row r="28" spans="1:3" ht="45" x14ac:dyDescent="0.25">
      <c r="A28" s="98" t="s">
        <v>134</v>
      </c>
      <c r="B28" s="101" t="s">
        <v>48</v>
      </c>
      <c r="C28" s="95">
        <v>0.63333333333333341</v>
      </c>
    </row>
    <row r="29" spans="1:3" ht="45" x14ac:dyDescent="0.25">
      <c r="A29" s="98" t="s">
        <v>131</v>
      </c>
      <c r="B29" s="101" t="s">
        <v>67</v>
      </c>
      <c r="C29" s="95" t="e">
        <v>#VALUE!</v>
      </c>
    </row>
    <row r="30" spans="1:3" ht="45" x14ac:dyDescent="0.25">
      <c r="B30" s="101" t="s">
        <v>56</v>
      </c>
      <c r="C30" s="95" t="e">
        <v>#VALUE!</v>
      </c>
    </row>
    <row r="31" spans="1:3" ht="30" x14ac:dyDescent="0.25">
      <c r="B31" s="101" t="s">
        <v>60</v>
      </c>
      <c r="C31" s="95" t="e">
        <v>#VALUE!</v>
      </c>
    </row>
    <row r="32" spans="1:3" ht="30" x14ac:dyDescent="0.25">
      <c r="B32" s="101" t="s">
        <v>65</v>
      </c>
      <c r="C32" s="95">
        <v>1.0659000000000001</v>
      </c>
    </row>
    <row r="33" spans="1:3" ht="60" x14ac:dyDescent="0.25">
      <c r="B33" s="101" t="s">
        <v>70</v>
      </c>
      <c r="C33" s="95" t="e">
        <v>#VALUE!</v>
      </c>
    </row>
    <row r="34" spans="1:3" ht="45" x14ac:dyDescent="0.25">
      <c r="B34" s="101" t="s">
        <v>61</v>
      </c>
      <c r="C34" s="95" t="e">
        <v>#VALUE!</v>
      </c>
    </row>
    <row r="35" spans="1:3" ht="45" x14ac:dyDescent="0.25">
      <c r="B35" s="101" t="s">
        <v>62</v>
      </c>
      <c r="C35" s="95" t="e">
        <v>#VALUE!</v>
      </c>
    </row>
    <row r="36" spans="1:3" ht="30" x14ac:dyDescent="0.25">
      <c r="B36" s="101" t="s">
        <v>55</v>
      </c>
      <c r="C36" s="95" t="e">
        <v>#VALUE!</v>
      </c>
    </row>
    <row r="37" spans="1:3" ht="30" x14ac:dyDescent="0.25">
      <c r="B37" s="101" t="s">
        <v>52</v>
      </c>
      <c r="C37" s="95" t="e">
        <v>#VALUE!</v>
      </c>
    </row>
    <row r="38" spans="1:3" ht="45" x14ac:dyDescent="0.25">
      <c r="B38" s="101" t="s">
        <v>63</v>
      </c>
      <c r="C38" s="95" t="e">
        <v>#VALUE!</v>
      </c>
    </row>
    <row r="39" spans="1:3" ht="75" x14ac:dyDescent="0.25">
      <c r="B39" s="101" t="s">
        <v>51</v>
      </c>
      <c r="C39" s="95" t="e">
        <v>#VALUE!</v>
      </c>
    </row>
    <row r="40" spans="1:3" ht="75" x14ac:dyDescent="0.25">
      <c r="B40" s="101" t="s">
        <v>50</v>
      </c>
      <c r="C40" s="95" t="e">
        <v>#VALUE!</v>
      </c>
    </row>
    <row r="41" spans="1:3" ht="75" x14ac:dyDescent="0.25">
      <c r="B41" s="101" t="s">
        <v>49</v>
      </c>
      <c r="C41" s="95" t="e">
        <v>#VALUE!</v>
      </c>
    </row>
    <row r="42" spans="1:3" ht="45" x14ac:dyDescent="0.25">
      <c r="B42" s="101" t="s">
        <v>64</v>
      </c>
      <c r="C42" s="95" t="e">
        <v>#VALUE!</v>
      </c>
    </row>
    <row r="43" spans="1:3" ht="30" x14ac:dyDescent="0.25">
      <c r="B43" s="101" t="s">
        <v>45</v>
      </c>
      <c r="C43" s="95" t="e">
        <v>#VALUE!</v>
      </c>
    </row>
    <row r="44" spans="1:3" ht="30" x14ac:dyDescent="0.25">
      <c r="B44" s="101" t="s">
        <v>54</v>
      </c>
      <c r="C44" s="95" t="e">
        <v>#VALUE!</v>
      </c>
    </row>
    <row r="45" spans="1:3" ht="30" x14ac:dyDescent="0.25">
      <c r="B45" s="101" t="s">
        <v>53</v>
      </c>
      <c r="C45" s="95" t="e">
        <v>#VALUE!</v>
      </c>
    </row>
    <row r="46" spans="1:3" ht="30" x14ac:dyDescent="0.25">
      <c r="B46" s="101" t="s">
        <v>66</v>
      </c>
      <c r="C46" s="95" t="e">
        <v>#VALUE!</v>
      </c>
    </row>
    <row r="47" spans="1:3" ht="30" x14ac:dyDescent="0.25">
      <c r="B47" s="101" t="s">
        <v>57</v>
      </c>
      <c r="C47" s="95" t="e">
        <v>#VALUE!</v>
      </c>
    </row>
    <row r="48" spans="1:3" ht="90" x14ac:dyDescent="0.25">
      <c r="A48" s="98" t="s">
        <v>133</v>
      </c>
      <c r="B48" s="101" t="s">
        <v>47</v>
      </c>
      <c r="C48" s="95">
        <v>0.621</v>
      </c>
    </row>
    <row r="49" spans="1:3" ht="75" x14ac:dyDescent="0.25">
      <c r="A49" s="98" t="s">
        <v>135</v>
      </c>
      <c r="B49" s="101" t="s">
        <v>59</v>
      </c>
      <c r="C49" s="95">
        <v>0.73090909090909084</v>
      </c>
    </row>
    <row r="50" spans="1:3" x14ac:dyDescent="0.25">
      <c r="B50" s="98" t="s">
        <v>181</v>
      </c>
      <c r="C50" s="100">
        <v>0.74695159710415804</v>
      </c>
    </row>
    <row r="51" spans="1:3" x14ac:dyDescent="0.25">
      <c r="A51" s="98" t="s">
        <v>151</v>
      </c>
      <c r="C51" s="100" t="e">
        <v>#VALUE!</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87"/>
  <sheetViews>
    <sheetView topLeftCell="A76" workbookViewId="0">
      <selection activeCell="C85" sqref="C85"/>
    </sheetView>
  </sheetViews>
  <sheetFormatPr baseColWidth="10" defaultRowHeight="15" x14ac:dyDescent="0.25"/>
  <cols>
    <col min="1" max="1" width="69.28515625" customWidth="1"/>
    <col min="3" max="3" width="77.42578125" customWidth="1"/>
    <col min="5" max="5" width="11.85546875" bestFit="1" customWidth="1"/>
  </cols>
  <sheetData>
    <row r="1" spans="1:5" ht="15.75" thickBot="1" x14ac:dyDescent="0.3">
      <c r="A1" s="104" t="s">
        <v>83</v>
      </c>
    </row>
    <row r="2" spans="1:5" x14ac:dyDescent="0.25">
      <c r="A2" s="109" t="s">
        <v>2</v>
      </c>
      <c r="C2" s="129" t="s">
        <v>2</v>
      </c>
      <c r="E2" t="b">
        <f>+A2=C2</f>
        <v>1</v>
      </c>
    </row>
    <row r="3" spans="1:5" x14ac:dyDescent="0.25">
      <c r="A3" s="2" t="s">
        <v>3</v>
      </c>
      <c r="C3" s="130" t="s">
        <v>3</v>
      </c>
      <c r="E3" t="b">
        <f t="shared" ref="E3:E66" si="0">+A3=C3</f>
        <v>1</v>
      </c>
    </row>
    <row r="4" spans="1:5" x14ac:dyDescent="0.25">
      <c r="A4" s="2" t="s">
        <v>4</v>
      </c>
      <c r="C4" s="130" t="s">
        <v>4</v>
      </c>
      <c r="E4" t="b">
        <f t="shared" si="0"/>
        <v>1</v>
      </c>
    </row>
    <row r="5" spans="1:5" x14ac:dyDescent="0.25">
      <c r="A5" s="2" t="s">
        <v>5</v>
      </c>
      <c r="C5" s="130" t="s">
        <v>5</v>
      </c>
      <c r="E5" t="b">
        <f t="shared" si="0"/>
        <v>1</v>
      </c>
    </row>
    <row r="6" spans="1:5" ht="45" x14ac:dyDescent="0.25">
      <c r="A6" s="3" t="s">
        <v>156</v>
      </c>
      <c r="C6" s="130" t="s">
        <v>6</v>
      </c>
      <c r="E6" t="b">
        <f t="shared" si="0"/>
        <v>0</v>
      </c>
    </row>
    <row r="7" spans="1:5" ht="30" x14ac:dyDescent="0.25">
      <c r="A7" s="2" t="s">
        <v>7</v>
      </c>
      <c r="C7" s="130" t="s">
        <v>7</v>
      </c>
      <c r="E7" t="b">
        <f t="shared" si="0"/>
        <v>1</v>
      </c>
    </row>
    <row r="8" spans="1:5" ht="45" x14ac:dyDescent="0.25">
      <c r="A8" s="2" t="s">
        <v>8</v>
      </c>
      <c r="C8" s="130" t="s">
        <v>8</v>
      </c>
      <c r="E8" t="b">
        <f t="shared" si="0"/>
        <v>1</v>
      </c>
    </row>
    <row r="9" spans="1:5" ht="30" x14ac:dyDescent="0.25">
      <c r="A9" s="2" t="s">
        <v>9</v>
      </c>
      <c r="C9" s="130" t="s">
        <v>9</v>
      </c>
      <c r="E9" t="b">
        <f t="shared" si="0"/>
        <v>1</v>
      </c>
    </row>
    <row r="10" spans="1:5" x14ac:dyDescent="0.25">
      <c r="A10" s="78" t="s">
        <v>10</v>
      </c>
      <c r="C10" s="132" t="s">
        <v>10</v>
      </c>
      <c r="E10" t="b">
        <f t="shared" si="0"/>
        <v>1</v>
      </c>
    </row>
    <row r="11" spans="1:5" x14ac:dyDescent="0.25">
      <c r="A11" s="78" t="s">
        <v>11</v>
      </c>
      <c r="C11" s="130" t="s">
        <v>11</v>
      </c>
      <c r="E11" t="b">
        <f t="shared" si="0"/>
        <v>1</v>
      </c>
    </row>
    <row r="12" spans="1:5" x14ac:dyDescent="0.25">
      <c r="A12" s="3" t="s">
        <v>12</v>
      </c>
      <c r="C12" s="132" t="s">
        <v>12</v>
      </c>
      <c r="E12" t="b">
        <f t="shared" si="0"/>
        <v>1</v>
      </c>
    </row>
    <row r="13" spans="1:5" x14ac:dyDescent="0.25">
      <c r="A13" s="3" t="s">
        <v>13</v>
      </c>
      <c r="C13" s="132" t="s">
        <v>13</v>
      </c>
      <c r="E13" t="b">
        <f t="shared" si="0"/>
        <v>1</v>
      </c>
    </row>
    <row r="14" spans="1:5" ht="30" x14ac:dyDescent="0.25">
      <c r="A14" s="3" t="s">
        <v>14</v>
      </c>
      <c r="C14" s="132" t="s">
        <v>14</v>
      </c>
      <c r="E14" t="b">
        <f t="shared" si="0"/>
        <v>1</v>
      </c>
    </row>
    <row r="15" spans="1:5" x14ac:dyDescent="0.25">
      <c r="A15" s="3" t="s">
        <v>15</v>
      </c>
      <c r="C15" s="130" t="s">
        <v>15</v>
      </c>
      <c r="E15" t="b">
        <f t="shared" si="0"/>
        <v>1</v>
      </c>
    </row>
    <row r="16" spans="1:5" x14ac:dyDescent="0.25">
      <c r="A16" s="3" t="s">
        <v>16</v>
      </c>
      <c r="C16" s="132" t="s">
        <v>16</v>
      </c>
      <c r="E16" t="b">
        <f t="shared" si="0"/>
        <v>1</v>
      </c>
    </row>
    <row r="17" spans="1:5" ht="30" x14ac:dyDescent="0.25">
      <c r="A17" s="3" t="s">
        <v>17</v>
      </c>
      <c r="C17" s="132" t="s">
        <v>17</v>
      </c>
      <c r="E17" t="b">
        <f t="shared" si="0"/>
        <v>1</v>
      </c>
    </row>
    <row r="18" spans="1:5" x14ac:dyDescent="0.25">
      <c r="A18" s="3" t="s">
        <v>18</v>
      </c>
      <c r="C18" s="130" t="s">
        <v>18</v>
      </c>
      <c r="E18" t="b">
        <f t="shared" si="0"/>
        <v>1</v>
      </c>
    </row>
    <row r="19" spans="1:5" x14ac:dyDescent="0.25">
      <c r="A19" s="3" t="s">
        <v>19</v>
      </c>
      <c r="C19" s="133" t="s">
        <v>19</v>
      </c>
      <c r="E19" t="b">
        <f t="shared" si="0"/>
        <v>1</v>
      </c>
    </row>
    <row r="20" spans="1:5" ht="30" x14ac:dyDescent="0.25">
      <c r="A20" s="3" t="s">
        <v>20</v>
      </c>
      <c r="C20" s="130" t="s">
        <v>20</v>
      </c>
      <c r="E20" t="b">
        <f t="shared" si="0"/>
        <v>1</v>
      </c>
    </row>
    <row r="21" spans="1:5" ht="30" x14ac:dyDescent="0.25">
      <c r="A21" s="3" t="s">
        <v>21</v>
      </c>
      <c r="C21" s="130" t="s">
        <v>21</v>
      </c>
      <c r="E21" t="b">
        <f t="shared" si="0"/>
        <v>1</v>
      </c>
    </row>
    <row r="22" spans="1:5" x14ac:dyDescent="0.25">
      <c r="A22" s="3" t="s">
        <v>22</v>
      </c>
      <c r="C22" s="130" t="s">
        <v>22</v>
      </c>
      <c r="E22" t="b">
        <f t="shared" si="0"/>
        <v>1</v>
      </c>
    </row>
    <row r="23" spans="1:5" x14ac:dyDescent="0.25">
      <c r="A23" s="3" t="s">
        <v>23</v>
      </c>
      <c r="C23" s="130" t="s">
        <v>23</v>
      </c>
      <c r="E23" t="b">
        <f t="shared" si="0"/>
        <v>1</v>
      </c>
    </row>
    <row r="24" spans="1:5" ht="30" x14ac:dyDescent="0.25">
      <c r="A24" s="3" t="s">
        <v>24</v>
      </c>
      <c r="C24" s="130" t="s">
        <v>24</v>
      </c>
      <c r="E24" t="b">
        <f t="shared" si="0"/>
        <v>1</v>
      </c>
    </row>
    <row r="25" spans="1:5" x14ac:dyDescent="0.25">
      <c r="A25" s="3" t="s">
        <v>25</v>
      </c>
      <c r="C25" s="132" t="s">
        <v>25</v>
      </c>
      <c r="E25" t="b">
        <f t="shared" si="0"/>
        <v>1</v>
      </c>
    </row>
    <row r="26" spans="1:5" x14ac:dyDescent="0.25">
      <c r="A26" s="78" t="s">
        <v>26</v>
      </c>
      <c r="C26" s="132" t="s">
        <v>26</v>
      </c>
      <c r="E26" t="b">
        <f t="shared" si="0"/>
        <v>1</v>
      </c>
    </row>
    <row r="27" spans="1:5" ht="30" x14ac:dyDescent="0.25">
      <c r="A27" s="2" t="s">
        <v>27</v>
      </c>
      <c r="C27" s="130" t="s">
        <v>27</v>
      </c>
      <c r="E27" t="b">
        <f t="shared" si="0"/>
        <v>1</v>
      </c>
    </row>
    <row r="28" spans="1:5" x14ac:dyDescent="0.25">
      <c r="A28" s="2" t="s">
        <v>28</v>
      </c>
      <c r="C28" s="130" t="s">
        <v>28</v>
      </c>
      <c r="E28" t="b">
        <f t="shared" si="0"/>
        <v>1</v>
      </c>
    </row>
    <row r="29" spans="1:5" ht="30" x14ac:dyDescent="0.25">
      <c r="A29" s="2" t="s">
        <v>29</v>
      </c>
      <c r="C29" s="134" t="s">
        <v>29</v>
      </c>
      <c r="E29" t="b">
        <f t="shared" si="0"/>
        <v>1</v>
      </c>
    </row>
    <row r="30" spans="1:5" ht="30" x14ac:dyDescent="0.25">
      <c r="A30" s="2" t="s">
        <v>30</v>
      </c>
      <c r="C30" s="135" t="s">
        <v>30</v>
      </c>
      <c r="E30" t="b">
        <f t="shared" si="0"/>
        <v>1</v>
      </c>
    </row>
    <row r="31" spans="1:5" ht="30" x14ac:dyDescent="0.25">
      <c r="A31" s="2" t="s">
        <v>31</v>
      </c>
      <c r="C31" s="134" t="s">
        <v>31</v>
      </c>
      <c r="E31" t="b">
        <f t="shared" si="0"/>
        <v>1</v>
      </c>
    </row>
    <row r="32" spans="1:5" x14ac:dyDescent="0.25">
      <c r="A32" s="2" t="s">
        <v>32</v>
      </c>
      <c r="C32" s="135" t="s">
        <v>32</v>
      </c>
      <c r="E32" t="b">
        <f t="shared" si="0"/>
        <v>1</v>
      </c>
    </row>
    <row r="33" spans="1:5" ht="45" x14ac:dyDescent="0.25">
      <c r="A33" s="2" t="s">
        <v>33</v>
      </c>
      <c r="C33" s="134" t="s">
        <v>33</v>
      </c>
      <c r="E33" t="b">
        <f t="shared" si="0"/>
        <v>1</v>
      </c>
    </row>
    <row r="34" spans="1:5" ht="45" x14ac:dyDescent="0.25">
      <c r="A34" s="2" t="s">
        <v>34</v>
      </c>
      <c r="C34" s="134" t="s">
        <v>34</v>
      </c>
      <c r="E34" t="b">
        <f t="shared" si="0"/>
        <v>1</v>
      </c>
    </row>
    <row r="35" spans="1:5" x14ac:dyDescent="0.25">
      <c r="A35" s="2" t="s">
        <v>35</v>
      </c>
      <c r="C35" s="136" t="s">
        <v>35</v>
      </c>
      <c r="E35" t="b">
        <f t="shared" si="0"/>
        <v>1</v>
      </c>
    </row>
    <row r="36" spans="1:5" ht="30" x14ac:dyDescent="0.25">
      <c r="A36" s="2" t="s">
        <v>36</v>
      </c>
      <c r="C36" s="134" t="s">
        <v>36</v>
      </c>
      <c r="E36" t="b">
        <f t="shared" si="0"/>
        <v>1</v>
      </c>
    </row>
    <row r="37" spans="1:5" ht="30" x14ac:dyDescent="0.25">
      <c r="A37" s="2" t="s">
        <v>37</v>
      </c>
      <c r="C37" s="136" t="s">
        <v>37</v>
      </c>
      <c r="E37" t="b">
        <f t="shared" si="0"/>
        <v>1</v>
      </c>
    </row>
    <row r="38" spans="1:5" ht="30" x14ac:dyDescent="0.25">
      <c r="A38" s="2" t="s">
        <v>38</v>
      </c>
      <c r="C38" s="134" t="s">
        <v>38</v>
      </c>
      <c r="E38" t="b">
        <f t="shared" si="0"/>
        <v>1</v>
      </c>
    </row>
    <row r="39" spans="1:5" x14ac:dyDescent="0.25">
      <c r="A39" s="2" t="s">
        <v>39</v>
      </c>
      <c r="C39" s="134" t="s">
        <v>39</v>
      </c>
      <c r="E39" t="b">
        <f t="shared" si="0"/>
        <v>1</v>
      </c>
    </row>
    <row r="40" spans="1:5" ht="30" x14ac:dyDescent="0.25">
      <c r="A40" s="2" t="s">
        <v>40</v>
      </c>
      <c r="C40" s="134" t="s">
        <v>40</v>
      </c>
      <c r="E40" t="b">
        <f t="shared" si="0"/>
        <v>1</v>
      </c>
    </row>
    <row r="41" spans="1:5" x14ac:dyDescent="0.25">
      <c r="A41" s="2" t="s">
        <v>41</v>
      </c>
      <c r="C41" s="136" t="s">
        <v>41</v>
      </c>
      <c r="E41" t="b">
        <f t="shared" si="0"/>
        <v>1</v>
      </c>
    </row>
    <row r="42" spans="1:5" x14ac:dyDescent="0.25">
      <c r="A42" s="2" t="s">
        <v>42</v>
      </c>
      <c r="C42" s="135" t="s">
        <v>42</v>
      </c>
      <c r="E42" t="b">
        <f t="shared" si="0"/>
        <v>1</v>
      </c>
    </row>
    <row r="43" spans="1:5" ht="30" x14ac:dyDescent="0.25">
      <c r="A43" s="2" t="s">
        <v>43</v>
      </c>
      <c r="C43" s="137" t="s">
        <v>43</v>
      </c>
      <c r="E43" t="b">
        <f t="shared" si="0"/>
        <v>1</v>
      </c>
    </row>
    <row r="44" spans="1:5" x14ac:dyDescent="0.25">
      <c r="A44" s="4" t="s">
        <v>44</v>
      </c>
      <c r="C44" s="136" t="s">
        <v>44</v>
      </c>
      <c r="E44" t="b">
        <f t="shared" si="0"/>
        <v>1</v>
      </c>
    </row>
    <row r="45" spans="1:5" x14ac:dyDescent="0.25">
      <c r="A45" s="2" t="s">
        <v>45</v>
      </c>
      <c r="C45" s="132" t="s">
        <v>45</v>
      </c>
      <c r="E45" t="b">
        <f t="shared" si="0"/>
        <v>1</v>
      </c>
    </row>
    <row r="46" spans="1:5" x14ac:dyDescent="0.25">
      <c r="A46" s="2" t="s">
        <v>46</v>
      </c>
      <c r="C46" s="130" t="s">
        <v>46</v>
      </c>
      <c r="E46" t="b">
        <f t="shared" si="0"/>
        <v>1</v>
      </c>
    </row>
    <row r="47" spans="1:5" ht="45" x14ac:dyDescent="0.25">
      <c r="A47" s="2" t="s">
        <v>47</v>
      </c>
      <c r="C47" s="132" t="s">
        <v>47</v>
      </c>
      <c r="E47" t="b">
        <f t="shared" si="0"/>
        <v>1</v>
      </c>
    </row>
    <row r="48" spans="1:5" x14ac:dyDescent="0.25">
      <c r="A48" s="2" t="s">
        <v>48</v>
      </c>
      <c r="C48" s="130" t="s">
        <v>48</v>
      </c>
      <c r="E48" t="b">
        <f t="shared" si="0"/>
        <v>1</v>
      </c>
    </row>
    <row r="49" spans="1:5" ht="30" x14ac:dyDescent="0.25">
      <c r="A49" s="2" t="s">
        <v>49</v>
      </c>
      <c r="C49" s="130" t="s">
        <v>49</v>
      </c>
      <c r="E49" t="b">
        <f t="shared" si="0"/>
        <v>1</v>
      </c>
    </row>
    <row r="50" spans="1:5" ht="30" x14ac:dyDescent="0.25">
      <c r="A50" s="2" t="s">
        <v>50</v>
      </c>
      <c r="C50" s="130" t="s">
        <v>50</v>
      </c>
      <c r="E50" t="b">
        <f t="shared" si="0"/>
        <v>1</v>
      </c>
    </row>
    <row r="51" spans="1:5" ht="30" x14ac:dyDescent="0.25">
      <c r="A51" s="2" t="s">
        <v>51</v>
      </c>
      <c r="C51" s="132" t="s">
        <v>51</v>
      </c>
      <c r="E51" t="b">
        <f t="shared" si="0"/>
        <v>1</v>
      </c>
    </row>
    <row r="52" spans="1:5" x14ac:dyDescent="0.25">
      <c r="A52" s="2" t="s">
        <v>52</v>
      </c>
      <c r="C52" s="132" t="s">
        <v>52</v>
      </c>
      <c r="E52" t="b">
        <f t="shared" si="0"/>
        <v>1</v>
      </c>
    </row>
    <row r="53" spans="1:5" x14ac:dyDescent="0.25">
      <c r="A53" s="2" t="s">
        <v>53</v>
      </c>
      <c r="C53" s="132" t="s">
        <v>53</v>
      </c>
      <c r="E53" t="b">
        <f t="shared" si="0"/>
        <v>1</v>
      </c>
    </row>
    <row r="54" spans="1:5" x14ac:dyDescent="0.25">
      <c r="A54" s="2" t="s">
        <v>54</v>
      </c>
      <c r="C54" s="132" t="s">
        <v>54</v>
      </c>
      <c r="E54" t="b">
        <f t="shared" si="0"/>
        <v>1</v>
      </c>
    </row>
    <row r="55" spans="1:5" x14ac:dyDescent="0.25">
      <c r="A55" s="2" t="s">
        <v>55</v>
      </c>
      <c r="C55" s="132" t="s">
        <v>55</v>
      </c>
      <c r="E55" t="b">
        <f t="shared" si="0"/>
        <v>1</v>
      </c>
    </row>
    <row r="56" spans="1:5" ht="30" x14ac:dyDescent="0.25">
      <c r="A56" s="2" t="s">
        <v>56</v>
      </c>
      <c r="C56" s="130" t="s">
        <v>56</v>
      </c>
      <c r="E56" t="b">
        <f t="shared" si="0"/>
        <v>1</v>
      </c>
    </row>
    <row r="57" spans="1:5" x14ac:dyDescent="0.25">
      <c r="A57" s="2" t="s">
        <v>57</v>
      </c>
      <c r="C57" s="132" t="s">
        <v>57</v>
      </c>
      <c r="E57" t="b">
        <f t="shared" si="0"/>
        <v>1</v>
      </c>
    </row>
    <row r="58" spans="1:5" x14ac:dyDescent="0.25">
      <c r="A58" s="2" t="s">
        <v>58</v>
      </c>
      <c r="C58" s="132" t="s">
        <v>58</v>
      </c>
      <c r="E58" t="b">
        <f t="shared" si="0"/>
        <v>1</v>
      </c>
    </row>
    <row r="59" spans="1:5" ht="30" x14ac:dyDescent="0.25">
      <c r="A59" s="2" t="s">
        <v>59</v>
      </c>
      <c r="C59" s="132" t="s">
        <v>59</v>
      </c>
      <c r="E59" t="b">
        <f t="shared" si="0"/>
        <v>1</v>
      </c>
    </row>
    <row r="60" spans="1:5" x14ac:dyDescent="0.25">
      <c r="A60" s="2" t="s">
        <v>60</v>
      </c>
      <c r="C60" s="130" t="s">
        <v>60</v>
      </c>
      <c r="E60" t="b">
        <f t="shared" si="0"/>
        <v>1</v>
      </c>
    </row>
    <row r="61" spans="1:5" ht="30" x14ac:dyDescent="0.25">
      <c r="A61" s="2" t="s">
        <v>61</v>
      </c>
      <c r="C61" s="132" t="s">
        <v>61</v>
      </c>
      <c r="E61" t="b">
        <f t="shared" si="0"/>
        <v>1</v>
      </c>
    </row>
    <row r="62" spans="1:5" x14ac:dyDescent="0.25">
      <c r="A62" s="2" t="s">
        <v>62</v>
      </c>
      <c r="C62" s="132" t="s">
        <v>62</v>
      </c>
      <c r="E62" t="b">
        <f t="shared" si="0"/>
        <v>1</v>
      </c>
    </row>
    <row r="63" spans="1:5" x14ac:dyDescent="0.25">
      <c r="A63" s="2" t="s">
        <v>63</v>
      </c>
      <c r="C63" s="132" t="s">
        <v>63</v>
      </c>
      <c r="E63" t="b">
        <f t="shared" si="0"/>
        <v>1</v>
      </c>
    </row>
    <row r="64" spans="1:5" x14ac:dyDescent="0.25">
      <c r="A64" s="2" t="s">
        <v>64</v>
      </c>
      <c r="C64" s="132" t="s">
        <v>64</v>
      </c>
      <c r="E64" t="b">
        <f t="shared" si="0"/>
        <v>1</v>
      </c>
    </row>
    <row r="65" spans="1:5" x14ac:dyDescent="0.25">
      <c r="A65" s="2" t="s">
        <v>65</v>
      </c>
      <c r="C65" s="130" t="s">
        <v>65</v>
      </c>
      <c r="E65" t="b">
        <f t="shared" si="0"/>
        <v>1</v>
      </c>
    </row>
    <row r="66" spans="1:5" x14ac:dyDescent="0.25">
      <c r="A66" s="2" t="s">
        <v>66</v>
      </c>
      <c r="C66" s="130" t="s">
        <v>66</v>
      </c>
      <c r="E66" t="b">
        <f t="shared" si="0"/>
        <v>1</v>
      </c>
    </row>
    <row r="67" spans="1:5" x14ac:dyDescent="0.25">
      <c r="A67" s="2" t="s">
        <v>67</v>
      </c>
      <c r="C67" s="138" t="s">
        <v>67</v>
      </c>
      <c r="E67" t="b">
        <f t="shared" ref="E67:E79" si="1">+A67=C67</f>
        <v>1</v>
      </c>
    </row>
    <row r="68" spans="1:5" ht="60" x14ac:dyDescent="0.25">
      <c r="A68" s="2" t="s">
        <v>68</v>
      </c>
      <c r="C68" s="138" t="s">
        <v>68</v>
      </c>
      <c r="E68" t="b">
        <f t="shared" si="1"/>
        <v>1</v>
      </c>
    </row>
    <row r="69" spans="1:5" ht="30" x14ac:dyDescent="0.25">
      <c r="A69" s="2" t="s">
        <v>69</v>
      </c>
      <c r="C69" s="138" t="s">
        <v>69</v>
      </c>
      <c r="E69" t="b">
        <f t="shared" si="1"/>
        <v>1</v>
      </c>
    </row>
    <row r="70" spans="1:5" ht="30" x14ac:dyDescent="0.25">
      <c r="A70" s="2" t="s">
        <v>70</v>
      </c>
      <c r="C70" s="138" t="s">
        <v>70</v>
      </c>
      <c r="E70" t="b">
        <f t="shared" si="1"/>
        <v>1</v>
      </c>
    </row>
    <row r="71" spans="1:5" ht="30" x14ac:dyDescent="0.25">
      <c r="A71" s="2" t="s">
        <v>71</v>
      </c>
      <c r="C71" s="138" t="s">
        <v>71</v>
      </c>
      <c r="E71" t="b">
        <f t="shared" si="1"/>
        <v>1</v>
      </c>
    </row>
    <row r="72" spans="1:5" ht="30" x14ac:dyDescent="0.25">
      <c r="A72" s="4" t="s">
        <v>72</v>
      </c>
      <c r="C72" s="138" t="s">
        <v>72</v>
      </c>
      <c r="E72" t="b">
        <f t="shared" si="1"/>
        <v>1</v>
      </c>
    </row>
    <row r="73" spans="1:5" ht="45" x14ac:dyDescent="0.25">
      <c r="A73" s="2" t="s">
        <v>73</v>
      </c>
      <c r="C73" s="138" t="s">
        <v>73</v>
      </c>
      <c r="E73" t="b">
        <f t="shared" si="1"/>
        <v>1</v>
      </c>
    </row>
    <row r="74" spans="1:5" ht="30" x14ac:dyDescent="0.25">
      <c r="A74" s="2" t="s">
        <v>74</v>
      </c>
      <c r="C74" s="138" t="s">
        <v>74</v>
      </c>
      <c r="E74" t="b">
        <f t="shared" si="1"/>
        <v>1</v>
      </c>
    </row>
    <row r="75" spans="1:5" ht="30" x14ac:dyDescent="0.25">
      <c r="A75" s="2" t="s">
        <v>75</v>
      </c>
      <c r="C75" s="134" t="s">
        <v>75</v>
      </c>
      <c r="E75" t="b">
        <f t="shared" si="1"/>
        <v>1</v>
      </c>
    </row>
    <row r="76" spans="1:5" ht="45" x14ac:dyDescent="0.25">
      <c r="A76" s="2" t="s">
        <v>76</v>
      </c>
      <c r="C76" s="134" t="s">
        <v>76</v>
      </c>
      <c r="E76" t="b">
        <f t="shared" si="1"/>
        <v>1</v>
      </c>
    </row>
    <row r="77" spans="1:5" ht="30" x14ac:dyDescent="0.25">
      <c r="A77" s="2" t="s">
        <v>77</v>
      </c>
      <c r="C77" s="134" t="s">
        <v>77</v>
      </c>
      <c r="E77" t="b">
        <f t="shared" si="1"/>
        <v>1</v>
      </c>
    </row>
    <row r="78" spans="1:5" ht="45" x14ac:dyDescent="0.25">
      <c r="A78" s="2" t="s">
        <v>78</v>
      </c>
      <c r="C78" s="130" t="s">
        <v>78</v>
      </c>
      <c r="E78" t="b">
        <f t="shared" si="1"/>
        <v>1</v>
      </c>
    </row>
    <row r="79" spans="1:5" ht="30.75" thickBot="1" x14ac:dyDescent="0.3">
      <c r="A79" s="115" t="s">
        <v>79</v>
      </c>
      <c r="C79" s="134" t="s">
        <v>79</v>
      </c>
      <c r="E79" t="b">
        <f t="shared" si="1"/>
        <v>1</v>
      </c>
    </row>
    <row r="83" spans="2:5" ht="30" x14ac:dyDescent="0.25">
      <c r="B83" t="s">
        <v>162</v>
      </c>
      <c r="C83" s="131" t="s">
        <v>157</v>
      </c>
    </row>
    <row r="84" spans="2:5" ht="30" x14ac:dyDescent="0.25">
      <c r="B84" t="s">
        <v>162</v>
      </c>
      <c r="C84" s="134" t="s">
        <v>158</v>
      </c>
      <c r="E84" t="b">
        <f>+A31=C84</f>
        <v>0</v>
      </c>
    </row>
    <row r="85" spans="2:5" ht="30" x14ac:dyDescent="0.25">
      <c r="C85" s="132" t="s">
        <v>159</v>
      </c>
      <c r="E85" t="b">
        <f>+A58=C85</f>
        <v>0</v>
      </c>
    </row>
    <row r="86" spans="2:5" ht="30" x14ac:dyDescent="0.25">
      <c r="B86" t="s">
        <v>163</v>
      </c>
      <c r="C86" s="138" t="s">
        <v>160</v>
      </c>
      <c r="E86" t="b">
        <f>+A70=C86</f>
        <v>0</v>
      </c>
    </row>
    <row r="87" spans="2:5" ht="30" x14ac:dyDescent="0.25">
      <c r="B87" t="s">
        <v>163</v>
      </c>
      <c r="C87" s="138" t="s">
        <v>161</v>
      </c>
      <c r="E87" t="b">
        <f>+A70=C87</f>
        <v>0</v>
      </c>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3</vt:i4>
      </vt:variant>
    </vt:vector>
  </HeadingPairs>
  <TitlesOfParts>
    <vt:vector size="13" baseType="lpstr">
      <vt:lpstr>ANALISIS 2017 (2)</vt:lpstr>
      <vt:lpstr>Base Indicadores 1</vt:lpstr>
      <vt:lpstr>Hoja2</vt:lpstr>
      <vt:lpstr>Base Indicadores</vt:lpstr>
      <vt:lpstr>Tablero Seguimiento</vt:lpstr>
      <vt:lpstr>Hoja1</vt:lpstr>
      <vt:lpstr>RESUMEN</vt:lpstr>
      <vt:lpstr>Hoja3</vt:lpstr>
      <vt:lpstr>Hoja4</vt:lpstr>
      <vt:lpstr>Total corte diciembre</vt:lpstr>
      <vt:lpstr>'Tablero Seguimiento'!Área_de_impresión</vt:lpstr>
      <vt:lpstr>'Tablero Seguimiento'!Títulos_a_imprimir</vt:lpstr>
      <vt:lpstr>'Total corte diciembre'!Títulos_a_imprimir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Hector Julio Flechas Pacheco</dc:creator>
  <cp:lastModifiedBy>Sonia Esperanza Casas Merchan</cp:lastModifiedBy>
  <cp:lastPrinted>2019-03-06T01:17:27Z</cp:lastPrinted>
  <dcterms:created xsi:type="dcterms:W3CDTF">2018-01-25T14:40:41Z</dcterms:created>
  <dcterms:modified xsi:type="dcterms:W3CDTF">2019-03-06T17:38:02Z</dcterms:modified>
</cp:coreProperties>
</file>