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NINO_SDO_2014\SDO\Plan_de_Acción\2016\0 seguimiento 2016\III trimestre 2016\"/>
    </mc:Choice>
  </mc:AlternateContent>
  <bookViews>
    <workbookView xWindow="120" yWindow="1665" windowWidth="23715" windowHeight="8415" tabRatio="697" firstSheet="10" activeTab="10"/>
  </bookViews>
  <sheets>
    <sheet name="MODELO" sheetId="1" r:id="rId1"/>
    <sheet name="1. OF_CONTROL_INTERNO" sheetId="2" r:id="rId2"/>
    <sheet name="2. OF_COOP_INTERNACIONAL" sheetId="3" state="hidden" r:id="rId3"/>
    <sheet name="2. OF_COOP_INTERNAC" sheetId="17" r:id="rId4"/>
    <sheet name="3. OF_INNOV_EDUCAT" sheetId="4" r:id="rId5"/>
    <sheet name="4. OF_JURIDICA" sheetId="5" state="hidden" r:id="rId6"/>
    <sheet name="4. OF_JURIDICA_AJUSTE" sheetId="19" r:id="rId7"/>
    <sheet name="5. OF_PLANEACIÓN" sheetId="7" r:id="rId8"/>
    <sheet name="6. OF_TECNOLOGÍA" sheetId="8" r:id="rId9"/>
    <sheet name="8. SUBDIR_FINANCIERA" sheetId="9" state="hidden" r:id="rId10"/>
    <sheet name="7. SUBDIR_DES_ORG" sheetId="22" r:id="rId11"/>
    <sheet name="8. SUBDIR_GEST_FINANCIERA" sheetId="16" r:id="rId12"/>
    <sheet name="9. SUBDIR_TALENTO_HUMANO" sheetId="10" state="hidden" r:id="rId13"/>
    <sheet name="9, SUBDIR_TALENTO_HUMANO" sheetId="21" r:id="rId14"/>
    <sheet name="10. UNID_ATENC_CIUDADANO" sheetId="11" r:id="rId15"/>
    <sheet name="11. SUBDIR_ADMINISTRATIVA" sheetId="14" r:id="rId16"/>
    <sheet name="12. SUBDIR_CONTRATACIÓN" sheetId="13" r:id="rId17"/>
    <sheet name="13. OFICINA DE COMUNICACIONES" sheetId="15" state="hidden" r:id="rId18"/>
    <sheet name="13. OF_COMUNICACIONES" sheetId="18" r:id="rId19"/>
    <sheet name="CONSOLIDADO_1ER_TRIMESTRE" sheetId="12" state="hidden" r:id="rId20"/>
    <sheet name="CONSOLIDADO III TRIMESTRE 2016" sheetId="23" r:id="rId21"/>
  </sheets>
  <calcPr calcId="152511"/>
</workbook>
</file>

<file path=xl/calcChain.xml><?xml version="1.0" encoding="utf-8"?>
<calcChain xmlns="http://schemas.openxmlformats.org/spreadsheetml/2006/main">
  <c r="P28" i="22" l="1"/>
  <c r="P27" i="22"/>
  <c r="P26" i="22"/>
  <c r="P25" i="22"/>
  <c r="T19" i="22" l="1"/>
  <c r="AG7" i="13" l="1"/>
  <c r="O35" i="21"/>
  <c r="K35" i="21"/>
  <c r="K15" i="13"/>
  <c r="K14" i="13"/>
  <c r="K12" i="13"/>
  <c r="K14" i="2"/>
  <c r="K13" i="2"/>
  <c r="K12" i="2"/>
  <c r="K24" i="18"/>
  <c r="K23" i="18"/>
  <c r="K21" i="18"/>
  <c r="K22" i="19"/>
  <c r="K21" i="19"/>
  <c r="K20" i="19"/>
  <c r="K19" i="19"/>
  <c r="K45" i="7" l="1"/>
  <c r="K44" i="7"/>
  <c r="K43" i="7"/>
  <c r="K42" i="7"/>
  <c r="K31" i="16" l="1"/>
  <c r="K30" i="16"/>
  <c r="K29" i="16"/>
  <c r="K28" i="16"/>
  <c r="K18" i="11" l="1"/>
  <c r="S25" i="21"/>
  <c r="O25" i="21"/>
  <c r="F13" i="23" l="1"/>
  <c r="C13" i="23"/>
  <c r="AA18" i="14"/>
  <c r="F8" i="23" l="1"/>
  <c r="C8" i="23"/>
  <c r="K25" i="4"/>
  <c r="K23" i="4"/>
  <c r="K22" i="4"/>
  <c r="S13" i="18" l="1"/>
  <c r="O13" i="18"/>
  <c r="F4" i="23"/>
  <c r="C4" i="23"/>
  <c r="F7" i="23" l="1"/>
  <c r="C7" i="23"/>
  <c r="K16" i="8"/>
  <c r="F12" i="23" l="1"/>
  <c r="C12" i="23"/>
  <c r="F10" i="23" l="1"/>
  <c r="C10" i="23"/>
  <c r="F9" i="23" l="1"/>
  <c r="C9" i="23"/>
  <c r="K18" i="17"/>
  <c r="K16" i="17"/>
  <c r="K15" i="17"/>
  <c r="S7" i="17" l="1"/>
  <c r="J29" i="16" l="1"/>
  <c r="J30" i="16"/>
  <c r="J28" i="16"/>
  <c r="K28" i="22" l="1"/>
  <c r="N35" i="21"/>
  <c r="J24" i="4"/>
  <c r="J15" i="8"/>
  <c r="J13" i="8"/>
  <c r="J16" i="8" s="1"/>
  <c r="J31" i="16" l="1"/>
  <c r="S11" i="22" l="1"/>
  <c r="W11" i="22" s="1"/>
  <c r="T11" i="22"/>
  <c r="X11" i="22" s="1"/>
  <c r="U11" i="22"/>
  <c r="Y11" i="22" s="1"/>
  <c r="R11" i="22"/>
  <c r="V11" i="22" s="1"/>
  <c r="N11" i="22"/>
  <c r="P11" i="22"/>
  <c r="Q11" i="22"/>
  <c r="O11" i="22"/>
  <c r="AA11" i="22" l="1"/>
  <c r="Z11" i="22"/>
  <c r="AC11" i="22"/>
  <c r="AB11" i="22"/>
  <c r="J21" i="19"/>
  <c r="J20" i="19"/>
  <c r="J22" i="19" s="1"/>
  <c r="J18" i="11" l="1"/>
  <c r="J17" i="11"/>
  <c r="J16" i="11"/>
  <c r="J16" i="17" l="1"/>
  <c r="J15" i="17"/>
  <c r="J18" i="17" s="1"/>
  <c r="J21" i="14" l="1"/>
  <c r="J23" i="14" s="1"/>
  <c r="J44" i="7" l="1"/>
  <c r="J45" i="7"/>
  <c r="J43" i="7"/>
  <c r="J42" i="7"/>
  <c r="J35" i="21" l="1"/>
  <c r="T25" i="21"/>
  <c r="R25" i="21"/>
  <c r="Q25" i="21"/>
  <c r="P25" i="21"/>
  <c r="N25" i="21"/>
  <c r="M25" i="21"/>
  <c r="J23" i="18" l="1"/>
  <c r="J22" i="18"/>
  <c r="J21" i="18"/>
  <c r="J24" i="18" s="1"/>
  <c r="Q7" i="21" l="1"/>
  <c r="U7" i="21" s="1"/>
  <c r="Q14" i="21"/>
  <c r="U14" i="21" s="1"/>
  <c r="M7" i="21"/>
  <c r="M14" i="21"/>
  <c r="R22" i="22"/>
  <c r="V22" i="22" s="1"/>
  <c r="N22" i="22"/>
  <c r="N23" i="22" s="1"/>
  <c r="R19" i="22"/>
  <c r="V19" i="22" s="1"/>
  <c r="N19" i="22"/>
  <c r="I44" i="7"/>
  <c r="I43" i="7"/>
  <c r="I42" i="7"/>
  <c r="I45" i="7" s="1"/>
  <c r="C30" i="21"/>
  <c r="N28" i="21"/>
  <c r="T28" i="21"/>
  <c r="X28" i="21" s="1"/>
  <c r="S28" i="21"/>
  <c r="W28" i="21" s="1"/>
  <c r="R28" i="21"/>
  <c r="V28" i="21" s="1"/>
  <c r="Q28" i="21"/>
  <c r="U28" i="21" s="1"/>
  <c r="M28" i="21"/>
  <c r="P28" i="21"/>
  <c r="O28" i="21"/>
  <c r="X25" i="21"/>
  <c r="W25" i="21"/>
  <c r="V25" i="21"/>
  <c r="U25" i="21"/>
  <c r="T22" i="21"/>
  <c r="X22" i="21" s="1"/>
  <c r="S22" i="21"/>
  <c r="W22" i="21" s="1"/>
  <c r="R22" i="21"/>
  <c r="V22" i="21" s="1"/>
  <c r="Q22" i="21"/>
  <c r="U22" i="21" s="1"/>
  <c r="M22" i="21"/>
  <c r="P22" i="21"/>
  <c r="O22" i="21"/>
  <c r="N22" i="21"/>
  <c r="T19" i="21"/>
  <c r="X19" i="21" s="1"/>
  <c r="S19" i="21"/>
  <c r="W19" i="21" s="1"/>
  <c r="R19" i="21"/>
  <c r="V19" i="21" s="1"/>
  <c r="Q19" i="21"/>
  <c r="U19" i="21" s="1"/>
  <c r="P19" i="21"/>
  <c r="O19" i="21"/>
  <c r="N19" i="21"/>
  <c r="M19" i="21"/>
  <c r="T14" i="21"/>
  <c r="X14" i="21" s="1"/>
  <c r="P14" i="21"/>
  <c r="S14" i="21"/>
  <c r="W14" i="21" s="1"/>
  <c r="O14" i="21"/>
  <c r="R14" i="21"/>
  <c r="V14" i="21" s="1"/>
  <c r="N14" i="21"/>
  <c r="T13" i="21"/>
  <c r="X13" i="21" s="1"/>
  <c r="P13" i="21"/>
  <c r="S13" i="21"/>
  <c r="W13" i="21" s="1"/>
  <c r="O13" i="21"/>
  <c r="R13" i="21"/>
  <c r="V13" i="21" s="1"/>
  <c r="N13" i="21"/>
  <c r="T7" i="21"/>
  <c r="X7" i="21" s="1"/>
  <c r="P7" i="21"/>
  <c r="S7" i="21"/>
  <c r="W7" i="21" s="1"/>
  <c r="W30" i="21" s="1"/>
  <c r="O7" i="21"/>
  <c r="R7" i="21"/>
  <c r="V7" i="21" s="1"/>
  <c r="N7" i="21"/>
  <c r="M31" i="7"/>
  <c r="M28" i="7"/>
  <c r="M21" i="7"/>
  <c r="M11" i="7"/>
  <c r="Q31" i="7"/>
  <c r="U31" i="7" s="1"/>
  <c r="Y31" i="7" s="1"/>
  <c r="Q28" i="7"/>
  <c r="U28" i="7" s="1"/>
  <c r="Y28" i="7" s="1"/>
  <c r="Q21" i="7"/>
  <c r="U21" i="7" s="1"/>
  <c r="Q11" i="7"/>
  <c r="I18" i="11"/>
  <c r="I16" i="11"/>
  <c r="M7" i="11"/>
  <c r="Q7" i="16"/>
  <c r="I21" i="19"/>
  <c r="I20" i="19"/>
  <c r="I22" i="19"/>
  <c r="I17" i="17"/>
  <c r="I16" i="17"/>
  <c r="I18" i="17" s="1"/>
  <c r="Q7" i="11"/>
  <c r="I21" i="14"/>
  <c r="I23" i="14" s="1"/>
  <c r="I15" i="8"/>
  <c r="I16" i="8" s="1"/>
  <c r="I14" i="8"/>
  <c r="I13" i="8"/>
  <c r="I12" i="13"/>
  <c r="I15" i="13"/>
  <c r="M10" i="4"/>
  <c r="M17" i="4"/>
  <c r="M13" i="4"/>
  <c r="M7" i="4"/>
  <c r="M19" i="4" s="1"/>
  <c r="P19" i="22"/>
  <c r="Q19" i="22"/>
  <c r="O19" i="22"/>
  <c r="U22" i="22"/>
  <c r="Y22" i="22" s="1"/>
  <c r="T22" i="22"/>
  <c r="X22" i="22" s="1"/>
  <c r="S22" i="22"/>
  <c r="W22" i="22" s="1"/>
  <c r="Q22" i="22"/>
  <c r="P22" i="22"/>
  <c r="O22" i="22"/>
  <c r="U19" i="22"/>
  <c r="Y19" i="22" s="1"/>
  <c r="AC19" i="22" s="1"/>
  <c r="U9" i="22"/>
  <c r="Y9" i="22" s="1"/>
  <c r="T9" i="22"/>
  <c r="X9" i="22" s="1"/>
  <c r="S9" i="22"/>
  <c r="W9" i="22" s="1"/>
  <c r="Q9" i="22"/>
  <c r="P9" i="22"/>
  <c r="AB9" i="22" s="1"/>
  <c r="O9" i="22"/>
  <c r="O23" i="22" s="1"/>
  <c r="S7" i="22"/>
  <c r="W7" i="22" s="1"/>
  <c r="T7" i="22"/>
  <c r="X7" i="22" s="1"/>
  <c r="O7" i="22"/>
  <c r="P7" i="22"/>
  <c r="N7" i="22"/>
  <c r="R7" i="22"/>
  <c r="V7" i="22" s="1"/>
  <c r="Z7" i="22" s="1"/>
  <c r="S19" i="22"/>
  <c r="W19" i="22" s="1"/>
  <c r="AA19" i="22" s="1"/>
  <c r="X19" i="22"/>
  <c r="AB19" i="22" s="1"/>
  <c r="U7" i="22"/>
  <c r="Y7" i="22" s="1"/>
  <c r="Q7" i="22"/>
  <c r="X8" i="13"/>
  <c r="U8" i="13"/>
  <c r="R8" i="13"/>
  <c r="V8" i="13" s="1"/>
  <c r="S8" i="13"/>
  <c r="W8" i="13" s="1"/>
  <c r="AA8" i="13" s="1"/>
  <c r="T8" i="13"/>
  <c r="Q8" i="13"/>
  <c r="N8" i="13"/>
  <c r="O8" i="13"/>
  <c r="P8" i="13"/>
  <c r="M8" i="13"/>
  <c r="M10" i="13" s="1"/>
  <c r="N14" i="14"/>
  <c r="O14" i="14"/>
  <c r="P14" i="14"/>
  <c r="M14" i="14"/>
  <c r="N12" i="14"/>
  <c r="O12" i="14"/>
  <c r="P12" i="14"/>
  <c r="M12" i="14"/>
  <c r="N10" i="14"/>
  <c r="N18" i="14" s="1"/>
  <c r="O10" i="14"/>
  <c r="P10" i="14"/>
  <c r="M10" i="14"/>
  <c r="Q7" i="14"/>
  <c r="N7" i="14"/>
  <c r="O7" i="14"/>
  <c r="O18" i="14" s="1"/>
  <c r="P7" i="14"/>
  <c r="P18" i="14" s="1"/>
  <c r="M7" i="14"/>
  <c r="M18" i="14" s="1"/>
  <c r="Y18" i="14" s="1"/>
  <c r="C14" i="12" s="1"/>
  <c r="V12" i="11"/>
  <c r="X12" i="11"/>
  <c r="R12" i="11"/>
  <c r="S12" i="11"/>
  <c r="W12" i="11" s="1"/>
  <c r="AA12" i="11" s="1"/>
  <c r="T12" i="11"/>
  <c r="Q12" i="11"/>
  <c r="U12" i="11"/>
  <c r="N12" i="11"/>
  <c r="O12" i="11"/>
  <c r="P12" i="11"/>
  <c r="M12" i="11"/>
  <c r="R8" i="11"/>
  <c r="V8" i="11" s="1"/>
  <c r="S8" i="11"/>
  <c r="W8" i="11" s="1"/>
  <c r="AA8" i="11" s="1"/>
  <c r="T8" i="11"/>
  <c r="X8" i="11" s="1"/>
  <c r="AB8" i="11" s="1"/>
  <c r="Q8" i="11"/>
  <c r="U8" i="11" s="1"/>
  <c r="N8" i="11"/>
  <c r="O8" i="11"/>
  <c r="P8" i="11"/>
  <c r="M8" i="11"/>
  <c r="X20" i="16"/>
  <c r="AB20" i="16"/>
  <c r="R20" i="16"/>
  <c r="V20" i="16" s="1"/>
  <c r="Z20" i="16" s="1"/>
  <c r="S20" i="16"/>
  <c r="W20" i="16" s="1"/>
  <c r="AA20" i="16" s="1"/>
  <c r="T20" i="16"/>
  <c r="Q20" i="16"/>
  <c r="U20" i="16"/>
  <c r="Y20" i="16"/>
  <c r="N20" i="16"/>
  <c r="O20" i="16"/>
  <c r="P20" i="16"/>
  <c r="M20" i="16"/>
  <c r="R15" i="16"/>
  <c r="V15" i="16" s="1"/>
  <c r="S15" i="16"/>
  <c r="W15" i="16" s="1"/>
  <c r="T15" i="16"/>
  <c r="X15" i="16" s="1"/>
  <c r="AB15" i="16" s="1"/>
  <c r="Q15" i="16"/>
  <c r="U15" i="16" s="1"/>
  <c r="N15" i="16"/>
  <c r="O15" i="16"/>
  <c r="P15" i="16"/>
  <c r="M15" i="16"/>
  <c r="X13" i="16"/>
  <c r="R13" i="16"/>
  <c r="V13" i="16" s="1"/>
  <c r="S13" i="16"/>
  <c r="W13" i="16" s="1"/>
  <c r="T13" i="16"/>
  <c r="Q13" i="16"/>
  <c r="U13" i="16"/>
  <c r="R7" i="16"/>
  <c r="V7" i="16" s="1"/>
  <c r="S7" i="16"/>
  <c r="W7" i="16" s="1"/>
  <c r="T7" i="16"/>
  <c r="X7" i="16" s="1"/>
  <c r="X26" i="16" s="1"/>
  <c r="N7" i="16"/>
  <c r="O7" i="16"/>
  <c r="P7" i="16"/>
  <c r="M7" i="16"/>
  <c r="N13" i="16"/>
  <c r="O13" i="16"/>
  <c r="P13" i="16"/>
  <c r="M13" i="16"/>
  <c r="Y13" i="16" s="1"/>
  <c r="R7" i="8"/>
  <c r="V7" i="8" s="1"/>
  <c r="Z7" i="8" s="1"/>
  <c r="Z11" i="8" s="1"/>
  <c r="S7" i="8"/>
  <c r="W7" i="8" s="1"/>
  <c r="AA7" i="8" s="1"/>
  <c r="AA11" i="8" s="1"/>
  <c r="T7" i="8"/>
  <c r="X7" i="8" s="1"/>
  <c r="N7" i="8"/>
  <c r="O7" i="8"/>
  <c r="P7" i="8"/>
  <c r="X17" i="4"/>
  <c r="AB17" i="4" s="1"/>
  <c r="P19" i="4"/>
  <c r="N17" i="4"/>
  <c r="O17" i="4"/>
  <c r="P17" i="4"/>
  <c r="N13" i="4"/>
  <c r="O13" i="4"/>
  <c r="P13" i="4"/>
  <c r="N12" i="4"/>
  <c r="N19" i="4" s="1"/>
  <c r="O12" i="4"/>
  <c r="P12" i="4"/>
  <c r="M12" i="4"/>
  <c r="N10" i="4"/>
  <c r="O10" i="4"/>
  <c r="P10" i="4"/>
  <c r="AB10" i="4" s="1"/>
  <c r="N7" i="4"/>
  <c r="O7" i="4"/>
  <c r="P7" i="4"/>
  <c r="R17" i="4"/>
  <c r="V17" i="4" s="1"/>
  <c r="Z17" i="4" s="1"/>
  <c r="S17" i="4"/>
  <c r="W17" i="4" s="1"/>
  <c r="T17" i="4"/>
  <c r="Q17" i="4"/>
  <c r="U17" i="4"/>
  <c r="Y17" i="4" s="1"/>
  <c r="X13" i="4"/>
  <c r="AB13" i="4" s="1"/>
  <c r="R13" i="4"/>
  <c r="V13" i="4" s="1"/>
  <c r="S13" i="4"/>
  <c r="W13" i="4" s="1"/>
  <c r="AA13" i="4" s="1"/>
  <c r="T13" i="4"/>
  <c r="Q13" i="4"/>
  <c r="U13" i="4" s="1"/>
  <c r="X12" i="4"/>
  <c r="V10" i="4"/>
  <c r="Z10" i="4" s="1"/>
  <c r="X10" i="4"/>
  <c r="V11" i="4"/>
  <c r="W11" i="4"/>
  <c r="X11" i="4"/>
  <c r="AB11" i="4" s="1"/>
  <c r="U10" i="4"/>
  <c r="Y10" i="4" s="1"/>
  <c r="R10" i="4"/>
  <c r="S10" i="4"/>
  <c r="W10" i="4" s="1"/>
  <c r="AA10" i="4" s="1"/>
  <c r="T10" i="4"/>
  <c r="Q10" i="4"/>
  <c r="R7" i="4"/>
  <c r="S7" i="4"/>
  <c r="T7" i="4"/>
  <c r="Q7" i="4"/>
  <c r="U7" i="4" s="1"/>
  <c r="X11" i="7"/>
  <c r="AB11" i="7" s="1"/>
  <c r="N31" i="7"/>
  <c r="O31" i="7"/>
  <c r="P31" i="7"/>
  <c r="N28" i="7"/>
  <c r="O28" i="7"/>
  <c r="P28" i="7"/>
  <c r="N21" i="7"/>
  <c r="O21" i="7"/>
  <c r="P21" i="7"/>
  <c r="N11" i="7"/>
  <c r="O11" i="7"/>
  <c r="P11" i="7"/>
  <c r="R28" i="7"/>
  <c r="V28" i="7" s="1"/>
  <c r="Z28" i="7" s="1"/>
  <c r="S28" i="7"/>
  <c r="W28" i="7" s="1"/>
  <c r="AA28" i="7" s="1"/>
  <c r="T28" i="7"/>
  <c r="X28" i="7" s="1"/>
  <c r="AB28" i="7" s="1"/>
  <c r="R21" i="7"/>
  <c r="V21" i="7" s="1"/>
  <c r="Z21" i="7" s="1"/>
  <c r="S21" i="7"/>
  <c r="W21" i="7" s="1"/>
  <c r="T21" i="7"/>
  <c r="X21" i="7" s="1"/>
  <c r="AB21" i="7" s="1"/>
  <c r="R11" i="7"/>
  <c r="V11" i="7" s="1"/>
  <c r="S11" i="7"/>
  <c r="W11" i="7" s="1"/>
  <c r="T11" i="7"/>
  <c r="U11" i="7"/>
  <c r="R7" i="7"/>
  <c r="V7" i="7" s="1"/>
  <c r="S7" i="7"/>
  <c r="W7" i="7" s="1"/>
  <c r="T7" i="7"/>
  <c r="X7" i="7" s="1"/>
  <c r="Q7" i="7"/>
  <c r="N7" i="7"/>
  <c r="O7" i="7"/>
  <c r="P7" i="7"/>
  <c r="M7" i="7"/>
  <c r="AC9" i="22"/>
  <c r="S31" i="7"/>
  <c r="W31" i="7" s="1"/>
  <c r="R31" i="7"/>
  <c r="V31" i="7" s="1"/>
  <c r="Z31" i="7" s="1"/>
  <c r="T31" i="7"/>
  <c r="X31" i="7" s="1"/>
  <c r="AB31" i="7" s="1"/>
  <c r="X16" i="14"/>
  <c r="R16" i="14"/>
  <c r="V16" i="14" s="1"/>
  <c r="S16" i="14"/>
  <c r="W16" i="14" s="1"/>
  <c r="AA16" i="14" s="1"/>
  <c r="T16" i="14"/>
  <c r="Q16" i="14"/>
  <c r="U16" i="14" s="1"/>
  <c r="Y16" i="14" s="1"/>
  <c r="X14" i="14"/>
  <c r="R14" i="14"/>
  <c r="V14" i="14" s="1"/>
  <c r="Z14" i="14" s="1"/>
  <c r="S14" i="14"/>
  <c r="W14" i="14" s="1"/>
  <c r="AA14" i="14" s="1"/>
  <c r="T14" i="14"/>
  <c r="Q14" i="14"/>
  <c r="U14" i="14" s="1"/>
  <c r="X12" i="14"/>
  <c r="U12" i="14"/>
  <c r="U18" i="14" s="1"/>
  <c r="R12" i="14"/>
  <c r="V12" i="14" s="1"/>
  <c r="Z12" i="14" s="1"/>
  <c r="S12" i="14"/>
  <c r="W12" i="14" s="1"/>
  <c r="AA12" i="14" s="1"/>
  <c r="T12" i="14"/>
  <c r="Q12" i="14"/>
  <c r="U10" i="14"/>
  <c r="Y10" i="14" s="1"/>
  <c r="T10" i="14"/>
  <c r="X10" i="14" s="1"/>
  <c r="AB10" i="14" s="1"/>
  <c r="S10" i="14"/>
  <c r="W10" i="14" s="1"/>
  <c r="AA10" i="14" s="1"/>
  <c r="R10" i="14"/>
  <c r="V10" i="14" s="1"/>
  <c r="Q10" i="14"/>
  <c r="T7" i="14"/>
  <c r="S7" i="14"/>
  <c r="W7" i="14" s="1"/>
  <c r="R7" i="14"/>
  <c r="U7" i="14"/>
  <c r="N16" i="14"/>
  <c r="O16" i="14"/>
  <c r="P16" i="14"/>
  <c r="M16" i="14"/>
  <c r="U11" i="4"/>
  <c r="Y11" i="4" s="1"/>
  <c r="Z11" i="4"/>
  <c r="Q12" i="4"/>
  <c r="U12" i="4"/>
  <c r="Y12" i="4" s="1"/>
  <c r="R12" i="4"/>
  <c r="V12" i="4" s="1"/>
  <c r="S12" i="4"/>
  <c r="W12" i="4" s="1"/>
  <c r="AA12" i="4" s="1"/>
  <c r="T12" i="4"/>
  <c r="U8" i="4"/>
  <c r="V8" i="4"/>
  <c r="W8" i="4"/>
  <c r="X8" i="4"/>
  <c r="AB8" i="4" s="1"/>
  <c r="U9" i="4"/>
  <c r="Y9" i="4" s="1"/>
  <c r="V9" i="4"/>
  <c r="W9" i="4"/>
  <c r="X9" i="4"/>
  <c r="AB12" i="4"/>
  <c r="AA11" i="4"/>
  <c r="Z8" i="4"/>
  <c r="Y8" i="4"/>
  <c r="AA8" i="4"/>
  <c r="AA9" i="4"/>
  <c r="Z9" i="4"/>
  <c r="AB9" i="4"/>
  <c r="Y12" i="11"/>
  <c r="Y14" i="14"/>
  <c r="AB12" i="14"/>
  <c r="Y12" i="14"/>
  <c r="AB14" i="14"/>
  <c r="C19" i="18"/>
  <c r="T13" i="18"/>
  <c r="X13" i="18" s="1"/>
  <c r="AB13" i="18" s="1"/>
  <c r="W13" i="18"/>
  <c r="AA13" i="18" s="1"/>
  <c r="R13" i="18"/>
  <c r="V13" i="18" s="1"/>
  <c r="Z13" i="18" s="1"/>
  <c r="Q13" i="18"/>
  <c r="U13" i="18" s="1"/>
  <c r="Y13" i="18" s="1"/>
  <c r="P13" i="18"/>
  <c r="N13" i="18"/>
  <c r="M13" i="18"/>
  <c r="T12" i="18"/>
  <c r="X12" i="18"/>
  <c r="AB12" i="18" s="1"/>
  <c r="S12" i="18"/>
  <c r="W12" i="18"/>
  <c r="AA12" i="18" s="1"/>
  <c r="R12" i="18"/>
  <c r="V12" i="18" s="1"/>
  <c r="Z12" i="18" s="1"/>
  <c r="Q12" i="18"/>
  <c r="U12" i="18"/>
  <c r="P12" i="18"/>
  <c r="O12" i="18"/>
  <c r="N12" i="18"/>
  <c r="N19" i="18" s="1"/>
  <c r="M12" i="18"/>
  <c r="Y12" i="18" s="1"/>
  <c r="T10" i="18"/>
  <c r="X10" i="18" s="1"/>
  <c r="AB10" i="18" s="1"/>
  <c r="S10" i="18"/>
  <c r="W10" i="18"/>
  <c r="AA10" i="18" s="1"/>
  <c r="R10" i="18"/>
  <c r="V10" i="18" s="1"/>
  <c r="Q10" i="18"/>
  <c r="U10" i="18"/>
  <c r="Y10" i="18" s="1"/>
  <c r="P10" i="18"/>
  <c r="P19" i="18" s="1"/>
  <c r="O10" i="18"/>
  <c r="N10" i="18"/>
  <c r="M10" i="18"/>
  <c r="T7" i="18"/>
  <c r="X7" i="18"/>
  <c r="S7" i="18"/>
  <c r="W7" i="18" s="1"/>
  <c r="R7" i="18"/>
  <c r="V7" i="18" s="1"/>
  <c r="Z7" i="18" s="1"/>
  <c r="Q7" i="18"/>
  <c r="U7" i="18" s="1"/>
  <c r="P7" i="18"/>
  <c r="O7" i="18"/>
  <c r="O19" i="18" s="1"/>
  <c r="N7" i="18"/>
  <c r="M7" i="18"/>
  <c r="M19" i="18"/>
  <c r="AB7" i="18"/>
  <c r="X19" i="18"/>
  <c r="Q7" i="17"/>
  <c r="N7" i="17"/>
  <c r="N13" i="17" s="1"/>
  <c r="O7" i="17"/>
  <c r="O13" i="17" s="1"/>
  <c r="P7" i="17"/>
  <c r="P13" i="17" s="1"/>
  <c r="M7" i="17"/>
  <c r="M13" i="17" s="1"/>
  <c r="C23" i="22"/>
  <c r="L18" i="3"/>
  <c r="L19" i="3"/>
  <c r="L20" i="3"/>
  <c r="L22" i="3"/>
  <c r="I18" i="3"/>
  <c r="I19" i="3"/>
  <c r="I20" i="3"/>
  <c r="I22" i="3"/>
  <c r="R14" i="15"/>
  <c r="M27" i="10"/>
  <c r="R27" i="10"/>
  <c r="V27" i="10" s="1"/>
  <c r="C17" i="19"/>
  <c r="T7" i="19"/>
  <c r="X7" i="19" s="1"/>
  <c r="X17" i="19" s="1"/>
  <c r="AB17" i="19" s="1"/>
  <c r="S7" i="19"/>
  <c r="W7" i="19" s="1"/>
  <c r="W17" i="19" s="1"/>
  <c r="R7" i="19"/>
  <c r="V7" i="19" s="1"/>
  <c r="Q7" i="19"/>
  <c r="U7" i="19"/>
  <c r="P7" i="19"/>
  <c r="P17" i="19"/>
  <c r="O7" i="19"/>
  <c r="O17" i="19"/>
  <c r="N7" i="19"/>
  <c r="N17" i="19" s="1"/>
  <c r="M7" i="19"/>
  <c r="M17" i="19" s="1"/>
  <c r="Y17" i="19" s="1"/>
  <c r="C13" i="17"/>
  <c r="U7" i="17"/>
  <c r="U13" i="17"/>
  <c r="T7" i="17"/>
  <c r="X7" i="17" s="1"/>
  <c r="W7" i="17"/>
  <c r="R7" i="17"/>
  <c r="V7" i="17"/>
  <c r="C26" i="16"/>
  <c r="U7" i="16"/>
  <c r="U26" i="16" s="1"/>
  <c r="U17" i="19"/>
  <c r="Y7" i="19"/>
  <c r="J24" i="15"/>
  <c r="J26" i="15"/>
  <c r="J25" i="15"/>
  <c r="J28" i="15" s="1"/>
  <c r="J28" i="9"/>
  <c r="J31" i="9"/>
  <c r="J27" i="9"/>
  <c r="J26" i="9"/>
  <c r="J16" i="5"/>
  <c r="J19" i="5" s="1"/>
  <c r="J17" i="5"/>
  <c r="Q27" i="10"/>
  <c r="C22" i="15"/>
  <c r="T14" i="15"/>
  <c r="X14" i="15" s="1"/>
  <c r="AB14" i="15" s="1"/>
  <c r="S14" i="15"/>
  <c r="W14" i="15"/>
  <c r="AA14" i="15" s="1"/>
  <c r="V14" i="15"/>
  <c r="Z14" i="15" s="1"/>
  <c r="Q14" i="15"/>
  <c r="U14" i="15" s="1"/>
  <c r="M14" i="15"/>
  <c r="T13" i="15"/>
  <c r="X13" i="15" s="1"/>
  <c r="AB13" i="15" s="1"/>
  <c r="S13" i="15"/>
  <c r="W13" i="15"/>
  <c r="R13" i="15"/>
  <c r="V13" i="15"/>
  <c r="Z13" i="15" s="1"/>
  <c r="Q13" i="15"/>
  <c r="U13" i="15"/>
  <c r="M13" i="15"/>
  <c r="T11" i="15"/>
  <c r="X11" i="15"/>
  <c r="AB11" i="15" s="1"/>
  <c r="S11" i="15"/>
  <c r="W11" i="15"/>
  <c r="AA11" i="15" s="1"/>
  <c r="R11" i="15"/>
  <c r="V11" i="15" s="1"/>
  <c r="Z11" i="15" s="1"/>
  <c r="Q11" i="15"/>
  <c r="U11" i="15" s="1"/>
  <c r="P11" i="15"/>
  <c r="O11" i="15"/>
  <c r="N11" i="15"/>
  <c r="M11" i="15"/>
  <c r="M22" i="15" s="1"/>
  <c r="P7" i="15"/>
  <c r="AB7" i="15" s="1"/>
  <c r="T7" i="15"/>
  <c r="X7" i="15"/>
  <c r="S7" i="15"/>
  <c r="W7" i="15" s="1"/>
  <c r="R7" i="15"/>
  <c r="V7" i="15" s="1"/>
  <c r="Q7" i="15"/>
  <c r="U7" i="15" s="1"/>
  <c r="Y7" i="15" s="1"/>
  <c r="O7" i="15"/>
  <c r="N7" i="15"/>
  <c r="M7" i="15"/>
  <c r="Y14" i="15"/>
  <c r="Y13" i="15"/>
  <c r="P13" i="15"/>
  <c r="O13" i="15"/>
  <c r="AA13" i="15"/>
  <c r="O14" i="15"/>
  <c r="P14" i="15"/>
  <c r="N13" i="15"/>
  <c r="N14" i="15"/>
  <c r="X22" i="15"/>
  <c r="C18" i="14"/>
  <c r="X7" i="14"/>
  <c r="AB7" i="14" s="1"/>
  <c r="AB18" i="14" s="1"/>
  <c r="V7" i="14"/>
  <c r="Z7" i="14" s="1"/>
  <c r="F14" i="12"/>
  <c r="X18" i="14"/>
  <c r="Y7" i="14"/>
  <c r="C10" i="13"/>
  <c r="T7" i="13"/>
  <c r="X7" i="13"/>
  <c r="S7" i="13"/>
  <c r="W7" i="13" s="1"/>
  <c r="R7" i="13"/>
  <c r="V7" i="13" s="1"/>
  <c r="Q7" i="13"/>
  <c r="U7" i="13"/>
  <c r="Y7" i="13" s="1"/>
  <c r="P7" i="13"/>
  <c r="O7" i="13"/>
  <c r="O10" i="13" s="1"/>
  <c r="N7" i="13"/>
  <c r="N10" i="13"/>
  <c r="M7" i="13"/>
  <c r="X10" i="13"/>
  <c r="C13" i="11"/>
  <c r="T7" i="11"/>
  <c r="X7" i="11"/>
  <c r="S7" i="11"/>
  <c r="W7" i="11" s="1"/>
  <c r="R7" i="11"/>
  <c r="V7" i="11" s="1"/>
  <c r="U7" i="11"/>
  <c r="Y7" i="11" s="1"/>
  <c r="N7" i="11"/>
  <c r="M13" i="11"/>
  <c r="X13" i="11"/>
  <c r="AB13" i="11" s="1"/>
  <c r="N13" i="11"/>
  <c r="P7" i="11"/>
  <c r="P13" i="11" s="1"/>
  <c r="O7" i="11"/>
  <c r="O13" i="11" s="1"/>
  <c r="H28" i="10"/>
  <c r="F27" i="10"/>
  <c r="G27" i="10" s="1"/>
  <c r="H27" i="10" s="1"/>
  <c r="P27" i="10" s="1"/>
  <c r="F26" i="10"/>
  <c r="G26" i="10"/>
  <c r="H26" i="10"/>
  <c r="F25" i="10"/>
  <c r="G25" i="10"/>
  <c r="H25" i="10" s="1"/>
  <c r="F24" i="10"/>
  <c r="G24" i="10"/>
  <c r="H24" i="10"/>
  <c r="F23" i="10"/>
  <c r="N22" i="10" s="1"/>
  <c r="G23" i="10"/>
  <c r="F22" i="10"/>
  <c r="R17" i="10"/>
  <c r="V17" i="10" s="1"/>
  <c r="F20" i="10"/>
  <c r="G20" i="10"/>
  <c r="H20" i="10"/>
  <c r="F19" i="10"/>
  <c r="G19" i="10" s="1"/>
  <c r="H19" i="10" s="1"/>
  <c r="F18" i="10"/>
  <c r="G18" i="10" s="1"/>
  <c r="H18" i="10" s="1"/>
  <c r="F17" i="10"/>
  <c r="G17" i="10"/>
  <c r="O17" i="10" s="1"/>
  <c r="R13" i="10"/>
  <c r="V13" i="10" s="1"/>
  <c r="S13" i="10"/>
  <c r="W13" i="10" s="1"/>
  <c r="AA13" i="10" s="1"/>
  <c r="T13" i="10"/>
  <c r="X13" i="10"/>
  <c r="AB13" i="10" s="1"/>
  <c r="Q13" i="10"/>
  <c r="U13" i="10"/>
  <c r="Y13" i="10" s="1"/>
  <c r="N13" i="10"/>
  <c r="O13" i="10"/>
  <c r="P13" i="10"/>
  <c r="T7" i="10"/>
  <c r="X7" i="10" s="1"/>
  <c r="F11" i="10"/>
  <c r="G11" i="10"/>
  <c r="F7" i="10"/>
  <c r="N7" i="10" s="1"/>
  <c r="C29" i="10"/>
  <c r="U27" i="10"/>
  <c r="Q22" i="10"/>
  <c r="U22" i="10" s="1"/>
  <c r="Y22" i="10" s="1"/>
  <c r="M22" i="10"/>
  <c r="Q17" i="10"/>
  <c r="U17" i="10" s="1"/>
  <c r="Y17" i="10" s="1"/>
  <c r="M17" i="10"/>
  <c r="M13" i="10"/>
  <c r="R7" i="10"/>
  <c r="V7" i="10" s="1"/>
  <c r="Q7" i="10"/>
  <c r="U7" i="10"/>
  <c r="M7" i="10"/>
  <c r="S27" i="10"/>
  <c r="W27" i="10" s="1"/>
  <c r="T27" i="10"/>
  <c r="X27" i="10" s="1"/>
  <c r="AB27" i="10" s="1"/>
  <c r="G22" i="10"/>
  <c r="H22" i="10" s="1"/>
  <c r="N17" i="10"/>
  <c r="Z17" i="10" s="1"/>
  <c r="T22" i="10"/>
  <c r="X22" i="10" s="1"/>
  <c r="S22" i="10"/>
  <c r="W22" i="10"/>
  <c r="R22" i="10"/>
  <c r="V22" i="10"/>
  <c r="Z22" i="10" s="1"/>
  <c r="V29" i="10"/>
  <c r="S17" i="10"/>
  <c r="W17" i="10" s="1"/>
  <c r="T17" i="10"/>
  <c r="X17" i="10"/>
  <c r="Y27" i="10"/>
  <c r="S7" i="10"/>
  <c r="W7" i="10" s="1"/>
  <c r="Y7" i="10"/>
  <c r="R20" i="9"/>
  <c r="V20" i="9" s="1"/>
  <c r="Z20" i="9" s="1"/>
  <c r="S20" i="9"/>
  <c r="W20" i="9" s="1"/>
  <c r="AA20" i="9" s="1"/>
  <c r="T20" i="9"/>
  <c r="X20" i="9" s="1"/>
  <c r="AB20" i="9" s="1"/>
  <c r="Q20" i="9"/>
  <c r="U20" i="9"/>
  <c r="Y20" i="9"/>
  <c r="N20" i="9"/>
  <c r="O20" i="9"/>
  <c r="P20" i="9"/>
  <c r="M20" i="9"/>
  <c r="R17" i="9"/>
  <c r="V17" i="9"/>
  <c r="Z17" i="9" s="1"/>
  <c r="S17" i="9"/>
  <c r="W17" i="9"/>
  <c r="AA17" i="9" s="1"/>
  <c r="T17" i="9"/>
  <c r="X17" i="9" s="1"/>
  <c r="Q17" i="9"/>
  <c r="U17" i="9" s="1"/>
  <c r="N17" i="9"/>
  <c r="O17" i="9"/>
  <c r="P17" i="9"/>
  <c r="M17" i="9"/>
  <c r="R14" i="9"/>
  <c r="V14" i="9" s="1"/>
  <c r="S14" i="9"/>
  <c r="W14" i="9" s="1"/>
  <c r="T14" i="9"/>
  <c r="X14" i="9"/>
  <c r="Q14" i="9"/>
  <c r="U14" i="9"/>
  <c r="Y14" i="9" s="1"/>
  <c r="N14" i="9"/>
  <c r="Z14" i="9" s="1"/>
  <c r="O14" i="9"/>
  <c r="P14" i="9"/>
  <c r="M14" i="9"/>
  <c r="R7" i="9"/>
  <c r="V7" i="9"/>
  <c r="V24" i="9" s="1"/>
  <c r="S7" i="9"/>
  <c r="W7" i="9"/>
  <c r="W24" i="9" s="1"/>
  <c r="T7" i="9"/>
  <c r="X7" i="9" s="1"/>
  <c r="AB7" i="9" s="1"/>
  <c r="Q7" i="9"/>
  <c r="U7" i="9" s="1"/>
  <c r="Y7" i="9" s="1"/>
  <c r="N7" i="9"/>
  <c r="O7" i="9"/>
  <c r="P7" i="9"/>
  <c r="M7" i="9"/>
  <c r="C24" i="9"/>
  <c r="AB14" i="9"/>
  <c r="AA14" i="9"/>
  <c r="M24" i="9"/>
  <c r="Z7" i="9"/>
  <c r="C11" i="8"/>
  <c r="V11" i="8"/>
  <c r="Q7" i="8"/>
  <c r="U7" i="8" s="1"/>
  <c r="P11" i="8"/>
  <c r="O11" i="8"/>
  <c r="N11" i="8"/>
  <c r="M7" i="8"/>
  <c r="M11" i="8"/>
  <c r="U7" i="7"/>
  <c r="P40" i="7"/>
  <c r="C40" i="7"/>
  <c r="R7" i="5"/>
  <c r="V7" i="5"/>
  <c r="S7" i="5"/>
  <c r="W7" i="5" s="1"/>
  <c r="T7" i="5"/>
  <c r="X7" i="5" s="1"/>
  <c r="AB7" i="5" s="1"/>
  <c r="Q7" i="5"/>
  <c r="N7" i="5"/>
  <c r="N13" i="5"/>
  <c r="O7" i="5"/>
  <c r="O13" i="5" s="1"/>
  <c r="P7" i="5"/>
  <c r="P13" i="5" s="1"/>
  <c r="M7" i="5"/>
  <c r="M13" i="5"/>
  <c r="C13" i="5"/>
  <c r="C19" i="4"/>
  <c r="X7" i="4"/>
  <c r="W7" i="4"/>
  <c r="V7" i="4"/>
  <c r="V13" i="3"/>
  <c r="W13" i="3"/>
  <c r="AA13" i="3"/>
  <c r="X13" i="3"/>
  <c r="V14" i="3"/>
  <c r="Z14" i="3" s="1"/>
  <c r="W14" i="3"/>
  <c r="X14" i="3"/>
  <c r="V15" i="3"/>
  <c r="Z15" i="3"/>
  <c r="W15" i="3"/>
  <c r="AA15" i="3" s="1"/>
  <c r="X15" i="3"/>
  <c r="AB15" i="3" s="1"/>
  <c r="R12" i="3"/>
  <c r="V12" i="3" s="1"/>
  <c r="Z12" i="3" s="1"/>
  <c r="S12" i="3"/>
  <c r="W12" i="3" s="1"/>
  <c r="T12" i="3"/>
  <c r="X12" i="3"/>
  <c r="Q12" i="3"/>
  <c r="U12" i="3"/>
  <c r="Y12" i="3" s="1"/>
  <c r="R7" i="3"/>
  <c r="V7" i="3"/>
  <c r="S7" i="3"/>
  <c r="W7" i="3"/>
  <c r="W16" i="3"/>
  <c r="T7" i="3"/>
  <c r="X7" i="3"/>
  <c r="AB7" i="3" s="1"/>
  <c r="X16" i="3"/>
  <c r="Q7" i="3"/>
  <c r="U7" i="3" s="1"/>
  <c r="Y7" i="3" s="1"/>
  <c r="P12" i="3"/>
  <c r="N12" i="3"/>
  <c r="O12" i="3"/>
  <c r="M12" i="3"/>
  <c r="M16" i="3" s="1"/>
  <c r="P7" i="3"/>
  <c r="N7" i="3"/>
  <c r="O7" i="3"/>
  <c r="AA7" i="3" s="1"/>
  <c r="M7" i="3"/>
  <c r="U13" i="3"/>
  <c r="Y13" i="3"/>
  <c r="Z13" i="3"/>
  <c r="U14" i="3"/>
  <c r="Y14" i="3"/>
  <c r="U15" i="3"/>
  <c r="Y15" i="3" s="1"/>
  <c r="C16" i="3"/>
  <c r="C16" i="12"/>
  <c r="F16" i="12"/>
  <c r="U7" i="5"/>
  <c r="Y7" i="5" s="1"/>
  <c r="Q13" i="5"/>
  <c r="U13" i="5"/>
  <c r="Y13" i="5" s="1"/>
  <c r="C5" i="12" s="1"/>
  <c r="X13" i="5"/>
  <c r="AB12" i="3"/>
  <c r="AB14" i="3"/>
  <c r="AA14" i="3"/>
  <c r="AB13" i="3"/>
  <c r="AA12" i="3"/>
  <c r="N8" i="2"/>
  <c r="N9" i="2" s="1"/>
  <c r="O8" i="2"/>
  <c r="O9" i="2" s="1"/>
  <c r="P8" i="2"/>
  <c r="P9" i="2" s="1"/>
  <c r="M8" i="2"/>
  <c r="N7" i="2"/>
  <c r="O7" i="2"/>
  <c r="P7" i="2"/>
  <c r="M7" i="2"/>
  <c r="M9" i="2"/>
  <c r="Q8" i="2"/>
  <c r="U8" i="2" s="1"/>
  <c r="Y8" i="2" s="1"/>
  <c r="R8" i="2"/>
  <c r="V8" i="2" s="1"/>
  <c r="Z8" i="2" s="1"/>
  <c r="S8" i="2"/>
  <c r="T8" i="2"/>
  <c r="C9" i="2"/>
  <c r="T7" i="2"/>
  <c r="X7" i="2"/>
  <c r="S7" i="2"/>
  <c r="W7" i="2" s="1"/>
  <c r="R7" i="2"/>
  <c r="V7" i="2"/>
  <c r="Z7" i="2" s="1"/>
  <c r="Q7" i="2"/>
  <c r="U7" i="2"/>
  <c r="X8" i="2"/>
  <c r="AB8" i="2" s="1"/>
  <c r="W8" i="2"/>
  <c r="B14" i="1"/>
  <c r="S6" i="1"/>
  <c r="W6" i="1"/>
  <c r="AA6" i="1"/>
  <c r="R6" i="1"/>
  <c r="V6" i="1" s="1"/>
  <c r="Z6" i="1" s="1"/>
  <c r="Q6" i="1"/>
  <c r="U6" i="1"/>
  <c r="Y6" i="1" s="1"/>
  <c r="P6" i="1"/>
  <c r="T6" i="1" s="1"/>
  <c r="X6" i="1" s="1"/>
  <c r="O6" i="1"/>
  <c r="N6" i="1"/>
  <c r="M6" i="1"/>
  <c r="L6" i="1"/>
  <c r="AB22" i="22" l="1"/>
  <c r="AC22" i="22"/>
  <c r="P23" i="22"/>
  <c r="Q23" i="22"/>
  <c r="Z19" i="22"/>
  <c r="F16" i="23"/>
  <c r="F14" i="23"/>
  <c r="AB13" i="16"/>
  <c r="N26" i="16"/>
  <c r="Y11" i="7"/>
  <c r="Y21" i="7"/>
  <c r="AA21" i="7"/>
  <c r="AB19" i="18"/>
  <c r="AA7" i="7"/>
  <c r="W26" i="16"/>
  <c r="F11" i="23" s="1"/>
  <c r="Y22" i="21"/>
  <c r="M30" i="21"/>
  <c r="AA7" i="14"/>
  <c r="W18" i="14"/>
  <c r="AA17" i="19"/>
  <c r="W13" i="11"/>
  <c r="AA13" i="11" s="1"/>
  <c r="AA7" i="11"/>
  <c r="Z7" i="10"/>
  <c r="U13" i="11"/>
  <c r="Y8" i="11"/>
  <c r="V22" i="15"/>
  <c r="Z7" i="15"/>
  <c r="U11" i="8"/>
  <c r="Y7" i="8"/>
  <c r="X13" i="17"/>
  <c r="AB13" i="17" s="1"/>
  <c r="AB7" i="17"/>
  <c r="W29" i="10"/>
  <c r="AA7" i="5"/>
  <c r="W13" i="5"/>
  <c r="H23" i="10"/>
  <c r="O22" i="10"/>
  <c r="AA22" i="10" s="1"/>
  <c r="Z7" i="17"/>
  <c r="V13" i="17"/>
  <c r="AB8" i="13"/>
  <c r="AA7" i="2"/>
  <c r="W9" i="2"/>
  <c r="AA9" i="2" s="1"/>
  <c r="U16" i="3"/>
  <c r="U24" i="9"/>
  <c r="H17" i="10"/>
  <c r="P17" i="10" s="1"/>
  <c r="U10" i="13"/>
  <c r="P10" i="13"/>
  <c r="AB7" i="13"/>
  <c r="AB10" i="13" s="1"/>
  <c r="AB7" i="7"/>
  <c r="X40" i="7"/>
  <c r="AB40" i="7" s="1"/>
  <c r="Z22" i="22"/>
  <c r="P22" i="10"/>
  <c r="AB22" i="10" s="1"/>
  <c r="V13" i="5"/>
  <c r="Z7" i="5"/>
  <c r="AA7" i="9"/>
  <c r="Y17" i="9"/>
  <c r="H11" i="10"/>
  <c r="P7" i="10" s="1"/>
  <c r="AB7" i="10" s="1"/>
  <c r="O7" i="10"/>
  <c r="AA7" i="10" s="1"/>
  <c r="AA7" i="17"/>
  <c r="W13" i="17"/>
  <c r="AA13" i="17" s="1"/>
  <c r="X19" i="4"/>
  <c r="AB19" i="4" s="1"/>
  <c r="AB7" i="4"/>
  <c r="X24" i="9"/>
  <c r="AB17" i="9"/>
  <c r="U29" i="10"/>
  <c r="AB17" i="10"/>
  <c r="AB7" i="11"/>
  <c r="U22" i="15"/>
  <c r="AA7" i="19"/>
  <c r="Y7" i="17"/>
  <c r="U19" i="18"/>
  <c r="Y19" i="18" s="1"/>
  <c r="Y7" i="18"/>
  <c r="AB12" i="11"/>
  <c r="U40" i="7"/>
  <c r="Y40" i="7" s="1"/>
  <c r="C7" i="12" s="1"/>
  <c r="AB7" i="2"/>
  <c r="X9" i="2"/>
  <c r="AB9" i="2" s="1"/>
  <c r="W11" i="8"/>
  <c r="F5" i="12"/>
  <c r="V16" i="3"/>
  <c r="Z7" i="3"/>
  <c r="X29" i="10"/>
  <c r="Z12" i="4"/>
  <c r="Z16" i="14"/>
  <c r="Z18" i="14"/>
  <c r="AA31" i="7"/>
  <c r="Y13" i="4"/>
  <c r="AB7" i="8"/>
  <c r="AB11" i="8" s="1"/>
  <c r="X11" i="8"/>
  <c r="Y8" i="13"/>
  <c r="AA8" i="2"/>
  <c r="W19" i="4"/>
  <c r="AA7" i="4"/>
  <c r="U9" i="2"/>
  <c r="Y7" i="2"/>
  <c r="Y7" i="4"/>
  <c r="O27" i="10"/>
  <c r="AA27" i="10" s="1"/>
  <c r="AA17" i="10"/>
  <c r="M29" i="10"/>
  <c r="Z13" i="10"/>
  <c r="W10" i="13"/>
  <c r="AA7" i="13"/>
  <c r="AA10" i="13" s="1"/>
  <c r="W22" i="15"/>
  <c r="AA7" i="15"/>
  <c r="Y11" i="15"/>
  <c r="AB7" i="19"/>
  <c r="Y13" i="17"/>
  <c r="W19" i="18"/>
  <c r="AA7" i="18"/>
  <c r="AB16" i="14"/>
  <c r="U19" i="4"/>
  <c r="Z12" i="11"/>
  <c r="M40" i="7"/>
  <c r="O40" i="7"/>
  <c r="Y7" i="16"/>
  <c r="AA15" i="16"/>
  <c r="Z8" i="11"/>
  <c r="Y15" i="16"/>
  <c r="N27" i="10"/>
  <c r="Z27" i="10" s="1"/>
  <c r="AA11" i="7"/>
  <c r="O19" i="4"/>
  <c r="Y19" i="21"/>
  <c r="Z11" i="7"/>
  <c r="Z13" i="4"/>
  <c r="AA13" i="16"/>
  <c r="Z7" i="4"/>
  <c r="Z8" i="13"/>
  <c r="AA9" i="22"/>
  <c r="AA22" i="22"/>
  <c r="Z13" i="16"/>
  <c r="Y7" i="7"/>
  <c r="W40" i="7"/>
  <c r="F6" i="23" s="1"/>
  <c r="N40" i="7"/>
  <c r="O26" i="16"/>
  <c r="Z15" i="16"/>
  <c r="P26" i="16"/>
  <c r="AB26" i="16" s="1"/>
  <c r="M26" i="16"/>
  <c r="Y26" i="16" s="1"/>
  <c r="AB7" i="16"/>
  <c r="AA7" i="16"/>
  <c r="V26" i="16"/>
  <c r="Z7" i="16"/>
  <c r="X23" i="22"/>
  <c r="AB7" i="22"/>
  <c r="AC7" i="22"/>
  <c r="Y23" i="22"/>
  <c r="AC23" i="22" s="1"/>
  <c r="AA7" i="22"/>
  <c r="W23" i="22"/>
  <c r="V17" i="19"/>
  <c r="Z7" i="19"/>
  <c r="V13" i="11"/>
  <c r="Z7" i="11"/>
  <c r="AA17" i="4"/>
  <c r="V19" i="4"/>
  <c r="V18" i="14"/>
  <c r="Z10" i="14"/>
  <c r="Z7" i="7"/>
  <c r="V40" i="7"/>
  <c r="V9" i="2"/>
  <c r="V30" i="21"/>
  <c r="Z10" i="18"/>
  <c r="V19" i="18"/>
  <c r="V10" i="13"/>
  <c r="Z7" i="13"/>
  <c r="V23" i="22"/>
  <c r="AA13" i="21"/>
  <c r="Z22" i="21"/>
  <c r="Y25" i="21"/>
  <c r="AB19" i="21"/>
  <c r="AA22" i="21"/>
  <c r="AB25" i="21"/>
  <c r="AB28" i="21"/>
  <c r="AA28" i="21"/>
  <c r="AA14" i="21"/>
  <c r="P30" i="21"/>
  <c r="AB13" i="21"/>
  <c r="AB22" i="21"/>
  <c r="Z25" i="21"/>
  <c r="Z28" i="21"/>
  <c r="AB14" i="21"/>
  <c r="Y28" i="21"/>
  <c r="AA25" i="21"/>
  <c r="AA7" i="21"/>
  <c r="Z19" i="21"/>
  <c r="N30" i="21"/>
  <c r="Z14" i="21"/>
  <c r="O30" i="21"/>
  <c r="Z13" i="21"/>
  <c r="Y14" i="21"/>
  <c r="U30" i="21"/>
  <c r="AA19" i="21"/>
  <c r="AB7" i="21"/>
  <c r="X30" i="21"/>
  <c r="Y7" i="21"/>
  <c r="Z7" i="21"/>
  <c r="AB23" i="22" l="1"/>
  <c r="F15" i="23" s="1"/>
  <c r="C15" i="23"/>
  <c r="Y30" i="21"/>
  <c r="AA26" i="16"/>
  <c r="C11" i="23" s="1"/>
  <c r="F7" i="12"/>
  <c r="AA19" i="18"/>
  <c r="C5" i="23" s="1"/>
  <c r="F5" i="23"/>
  <c r="AA40" i="7"/>
  <c r="C6" i="23" s="1"/>
  <c r="Z17" i="19"/>
  <c r="F9" i="12"/>
  <c r="Y19" i="4"/>
  <c r="C9" i="12" s="1"/>
  <c r="AA23" i="22"/>
  <c r="F11" i="12"/>
  <c r="Y9" i="2"/>
  <c r="C11" i="12" s="1"/>
  <c r="Z10" i="13"/>
  <c r="Z13" i="17"/>
  <c r="F17" i="12"/>
  <c r="Y13" i="11"/>
  <c r="C17" i="12" s="1"/>
  <c r="Z19" i="18"/>
  <c r="Z19" i="4"/>
  <c r="F13" i="12"/>
  <c r="Y10" i="13"/>
  <c r="C13" i="12" s="1"/>
  <c r="N29" i="10"/>
  <c r="Z29" i="10" s="1"/>
  <c r="Y24" i="9"/>
  <c r="C12" i="12" s="1"/>
  <c r="F12" i="12"/>
  <c r="Y11" i="8"/>
  <c r="C8" i="12" s="1"/>
  <c r="F8" i="12"/>
  <c r="Y29" i="10"/>
  <c r="C15" i="12" s="1"/>
  <c r="F15" i="12"/>
  <c r="F6" i="12"/>
  <c r="Y22" i="15"/>
  <c r="C6" i="12" s="1"/>
  <c r="Z9" i="2"/>
  <c r="Z13" i="11"/>
  <c r="AA19" i="4"/>
  <c r="Y16" i="3"/>
  <c r="C10" i="12" s="1"/>
  <c r="F10" i="12"/>
  <c r="Z26" i="16"/>
  <c r="Z40" i="7"/>
  <c r="AB30" i="21"/>
  <c r="Z30" i="21"/>
  <c r="Z23" i="22"/>
  <c r="AA30" i="21"/>
  <c r="C14" i="23" l="1"/>
  <c r="C16" i="23"/>
</calcChain>
</file>

<file path=xl/comments1.xml><?xml version="1.0" encoding="utf-8"?>
<comments xmlns="http://schemas.openxmlformats.org/spreadsheetml/2006/main">
  <authors>
    <author>Luis Eduardo Niño Velandia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ACTUALIZAN METAS DEBIDO A AJUSTES PRESUPUESTALES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SE ACEPTA SOLICITUD DE AJUSTE BAJANDO DEL 65% AL 60% (2016IE034491)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AJUSTAN DEBIDO A AJUSTES PRESUPUESTALES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SE ACEPTA SOLICITUD DE AJUSTE DE SUBIR DEL 25% AL 30% (2016IE034491)</t>
        </r>
      </text>
    </comment>
  </commentList>
</comments>
</file>

<file path=xl/comments2.xml><?xml version="1.0" encoding="utf-8"?>
<comments xmlns="http://schemas.openxmlformats.org/spreadsheetml/2006/main">
  <authors>
    <author>Luis Eduardo Niño Velandia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APRUEBA SOLICITUD DE ELIMINAR META RTA OCTUBRE 2016
</t>
        </r>
      </text>
    </comment>
  </commentList>
</comments>
</file>

<file path=xl/comments3.xml><?xml version="1.0" encoding="utf-8"?>
<comments xmlns="http://schemas.openxmlformats.org/spreadsheetml/2006/main">
  <authors>
    <author>Luis Eduardo Niño Velandia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SE AJUSTA A SOLICITUD DE SUBDIRECTORA: LA META Y SE DEJA UN SOLO INDICADOR</t>
        </r>
      </text>
    </comment>
  </commentList>
</comments>
</file>

<file path=xl/comments4.xml><?xml version="1.0" encoding="utf-8"?>
<comments xmlns="http://schemas.openxmlformats.org/spreadsheetml/2006/main">
  <authors>
    <author>Luis Eduardo Niño Velandia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POR SOLICITUD DE LA STH SE RETIRO ESTA META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2016/06/21 se ajusta meta a petición de TH (2016-IE-027875); SE SOLICITA ELIMINAR META EN OCTUBRE 2016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SE ACEPTA SOLICITUD DE ELIMINAR META ACEPTADA (2016IE027875), Y RATIFICADA MEDIANTE 2016IE033784 DE LA STH
</t>
        </r>
      </text>
    </comment>
  </commentList>
</comments>
</file>

<file path=xl/comments5.xml><?xml version="1.0" encoding="utf-8"?>
<comments xmlns="http://schemas.openxmlformats.org/spreadsheetml/2006/main">
  <authors>
    <author>Luis Eduardo Niño Velandia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AJUSTARON METAS DE 1500 A 2000 PIEZAS 29/07/2016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AJUSTARON METAS DE 45 A 60 ESTRATEGIAS 29/07/2016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AJUSTARON METAS DE 300 A 600 ACTUALIZACIONES 29/07/2016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AJUSTO META DE 150 A 200 EVENTOS
29/07/2016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 META DE 12 A 16 MILLONES DE VISITAS 29/07/2016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 META DE 200 A 220 MIL SEGUIDORES 29/07/2016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 META DE 4500 A 5000 SUSCRIPTORES
29/07/2016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AJUSTA META DE 4 A 4.3 MILLONES DE REPRODUCCIONES 29/07/2016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SE RETIRA META A PARTIR DEL TERCER TRIMESTRE DE 2016 29/07/2016</t>
        </r>
      </text>
    </comment>
  </commentList>
</comments>
</file>

<file path=xl/sharedStrings.xml><?xml version="1.0" encoding="utf-8"?>
<sst xmlns="http://schemas.openxmlformats.org/spreadsheetml/2006/main" count="1084" uniqueCount="334">
  <si>
    <t>ESTRATEGIA</t>
  </si>
  <si>
    <t>PESO DE LA ESTRATEGIA
(1)</t>
  </si>
  <si>
    <t>META</t>
  </si>
  <si>
    <t>PLANEADO
(2)</t>
  </si>
  <si>
    <t>EJECUTADO
(3)</t>
  </si>
  <si>
    <t>CUMPLIMIENTO DE LA ESTRATEGIA (5) = (PROMEDIO DE (3))</t>
  </si>
  <si>
    <t>CUMPLIMIENTO FRENTE A LA VIGENCIA 
(6) = (5)  * (1)</t>
  </si>
  <si>
    <t>CUMPLIMIENTO DE LA PLANEACIÓN
(7) = (6) / (4)</t>
  </si>
  <si>
    <t>I</t>
  </si>
  <si>
    <t>II</t>
  </si>
  <si>
    <t>III</t>
  </si>
  <si>
    <t>IV</t>
  </si>
  <si>
    <t>TOTAL</t>
  </si>
  <si>
    <t>No. 1</t>
  </si>
  <si>
    <t>No. 2</t>
  </si>
  <si>
    <t>No. 3</t>
  </si>
  <si>
    <t>PLANEACIÓN FRENTE AL TRIMESTRE 
(4) = (PROMEDIO DE (2) * (1))</t>
  </si>
  <si>
    <t>Fortalecer el Sistema de Control Interno Institucional</t>
  </si>
  <si>
    <t>Realizar evaluación independiente del Sistema del Sistema Integrado de Gestión</t>
  </si>
  <si>
    <t>Incrementar el nivel de madurez del MECI a nivel Avanzado</t>
  </si>
  <si>
    <t>Determinar el grado de conformidad del Sistema Integrado de Gestión, con respecto al cumplimiento de la NTCGP:1000: 2009, MECI 2014 e ISO 14001  y documentar mínimo una acción preventiva por macroproceso</t>
  </si>
  <si>
    <t>OFICINA DE COOPERACIÓN Y ASUNTOS INTERNACIONALES</t>
  </si>
  <si>
    <t>la OCAI deberá coordinar las acciones de cooperación  para el sector educativo y gestionar las relaciones internacionales del MEN.  Su función es gestionar recursos financieros y asistencia técnica de fuentes oficiales, privadas, nacionales e internacionales para ampliar el alcance y fortalecer los proyectos estratégicos que el Ministerio ha definido para cumplir las metas del Plan Sectorial de Educación. para esto a definido tres lineas estratégicas: i) Planeación de la gestión, ii) Gestion de las relaciones nacionales e internacionales y iii) Acompañamiento y asesoria a las áreas misionales del MEN</t>
  </si>
  <si>
    <t xml:space="preserve">Diseño e implementación de estrategias de alianzas con los sectores privado y solidario, las entidades territoriales y organizaciones internacionales que nos permitan obtener $20.000.000.000 de cooperación. </t>
  </si>
  <si>
    <t>Apoyar el proceso de Ingreso de Colombia a la OCDE desde el sector educativo</t>
  </si>
  <si>
    <t xml:space="preserve">Acompañamiento a las áreas misionales del MEN en la formulación y presentación de 8 proyectos aprobados por aliados del sector privado, solidario y  organismos internacionales </t>
  </si>
  <si>
    <t>Identificar al menos 5 buenas prácticas (Nacionales e Internacionales) que permitan impactar la formulación y ejecución de politica desde las áreas misionales.</t>
  </si>
  <si>
    <t xml:space="preserve">Acompañamiento, asesoría y apoyo a los despachos de la Ministra de Educación y los Viceministerios en la preparación y desarrollo de información para la participación del Ministerio en en comisiones internacionales.   </t>
  </si>
  <si>
    <t xml:space="preserve">La OCAI ejecutará el Proyecto Estratégico de Fomento a la Internacionalización de la Educación Superior, a través del cual se generan las políticas para la internacionalización del sistema de educación, de acuerdo a los objetivos del Plan Sectorial de Educación 2010-2014, que permitan promover a Colombia como destino de educación superior de calidad y consolidar espacios para fortalecer los lazos de cooperación educativa a nivel internacional. </t>
  </si>
  <si>
    <t>Apoyar el mejoramiento del proceso de reconocimiento de títulos para facilitar el proceso de convalidaciones.</t>
  </si>
  <si>
    <t xml:space="preserve">Acompañar a Instituciones de Educación Superior para mejorar los procesos de internacionalización y apoyo a estandares de acreditación. </t>
  </si>
  <si>
    <t>Desarrollar una estrategia de formación internacional para estudiantes y docentes (escuela Gabriel Garcia Marquez)</t>
  </si>
  <si>
    <t xml:space="preserve">Promover a Colombia como destino de educación superior de calidad a través de la participación en escenarios internacionales  </t>
  </si>
  <si>
    <t>OFICINA ASESORA JURÍDICA</t>
  </si>
  <si>
    <t>Fortalecimiento de la Gestión del Conocimiento y la innovación</t>
  </si>
  <si>
    <t>Preparar, revisar o ajustar oportunamente el 100% de los proyectos normativos de interés sectorial que sean requeridos por el despacho de la Ministra o por las áreas misionales.</t>
  </si>
  <si>
    <t>Asistir  al 100 % de los talleres programados por las dependencias del MEN y que requieran del apoyo  Técnico - Jurídico para capacitación a servidores de  las entidades  territoriales certificadas</t>
  </si>
  <si>
    <t>Atender en oportunidad el 100% de las consultas jurídicas  relacionadas con el sector educativo.</t>
  </si>
  <si>
    <t>Iniciar, tramitar y continuar oportunamente con la ejecución por cobro coactivo del 100% de las obligaciones previamente definidas a favor de la Nación- Ministerio de Educación Nacional   y que cursen o se alleguen a la Oficina por las dependencias del MEN según sea la temática</t>
  </si>
  <si>
    <t xml:space="preserve"> Efectuar auditoria en un  mínimo del 50% del total de los procesos  en los cuales es parte el MEN, distintos al Fomag, cuya representación judicial es ejercida por abogados externos durante la vigencia 2015;</t>
  </si>
  <si>
    <t xml:space="preserve">Ejercer  la supervisión de la representación judicial  que ejercen los abogados contratados por la FIDUCIARI A LA PREVISORA S.A., en los procesos judiciales y extrajudiciales  en los cuales es parte LA NACIÓN -  MEN - FOMAG; gestión que se adelantará   a través de la persona natural o juridica que ejerza el apoyo o la supervisión del contrato de fiducia mercantil. la que deberá presentar a la Oficina Asesora Juridica al menos un  informe semestral </t>
  </si>
  <si>
    <t>SUBDIRECCIÓN FINANCIERA</t>
  </si>
  <si>
    <t>Desarrollar las tácticas que permitan Garantizar el registro, verificación y control de los ingresos del Ministerio de Educación Nacional</t>
  </si>
  <si>
    <t>Recaudo del 100% neto por concepto de aportes de ley 21 de 1982 por la vigencia 2015 proyectado por $ 222.356.559.135</t>
  </si>
  <si>
    <t>Constitución del 100% de la cartera con el total de las entidades en mora por períodos de vigencias anteriores, identificadas trimestralmente, correspondiente a la ley 21 de 1982.</t>
  </si>
  <si>
    <t>Identificar el 85% correspondiente al: "Valor pendiente por identificar del recaudo de años  anteriores", (dos informes durante la vigencia).</t>
  </si>
  <si>
    <t>Identificar el 99% correspondiente al: "Valor pendiente por identificar del recaudo de la vigencia".</t>
  </si>
  <si>
    <t>La meta proyectada por concepto del recaudo de Educación Superior para la vigencia 2015 es de $13,122,451,120</t>
  </si>
  <si>
    <t>La meta proyectada por concepto del recaudo Contribución de la Estampilla (Ley 1697 de 2013) para la vigencia 2015 es de $38.126.519.899</t>
  </si>
  <si>
    <t>Constitución del 100% de la cartera en mora de la vigencia 2014, correspondiente a la contribución de Estampilla - Ley 1697 de 2013.</t>
  </si>
  <si>
    <t>Desarrollar las tácticas que permitan registrar las operaciones presupuestales, contables y de tesorería relacionadas con la ejecución del presupuesto apropiado del  Ministerio de Educación Nacional, y generar la información financiera requerida por clientes internos y externos</t>
  </si>
  <si>
    <t>Realizar el seguimiento  a la utilización de los CDP expedidos mediante la realización de un informe (24 en la vigencia).</t>
  </si>
  <si>
    <t>Realizar el seguimiento mensual a la utilización de los RP expedidos mediante la realización de un informe (24 en la vigencia).</t>
  </si>
  <si>
    <t>Efectuar el 90% de los pagos correspondientes a las obligaciones generadas en cada mes</t>
  </si>
  <si>
    <t>Efectuar el control a las operaciones presupuestales y financieras, a la ejecución de los ingresos y apropiaciones, y realizar seguimiento a la programación, modificación, ejecución y evaluación del Programa Anual Mensualizado de Caja – PAC con el fin facilitar la toma de decisiones en la administración de los recursos presupuestados al Ministerio de Educación Nacional.</t>
  </si>
  <si>
    <t>Remitir  informe quincenal de ejecución presupuestal para la vigencia y reserva.</t>
  </si>
  <si>
    <t>Establecer el nivel de ejecución mensual de las reservas presupuestales durante la vigencia.</t>
  </si>
  <si>
    <t>Alcanzar una ejecucion mensual   del PAC  por objeto del gasto del 95%</t>
  </si>
  <si>
    <t>Reflejar todas las transacciones financieras, económicas, sociales y ambientales que se generen en el Ministerio de Educación Nacional, para satisfacer las necesidades de información y control financiero conforme a los principios, normas y procedimientos del régimen de la contabilidad pública</t>
  </si>
  <si>
    <t>Presentar Estados financieros, con periodicidad trimestral durante la vigencia,  en las fechas estipuladas por la Contaduría General de la Nación</t>
  </si>
  <si>
    <t>Publicación de doce (12) estados financieros intermedios en la WEB (1 mensual)</t>
  </si>
  <si>
    <t>Elaboración de doce (12) conciliaciones bancarias en la vigencia</t>
  </si>
  <si>
    <t xml:space="preserve">Elaboración de conciliaciones de cuentas contables en la vigencia con información inter áreas. </t>
  </si>
  <si>
    <t>SUBDIRECCIÓN DE TALENTO HUMANO</t>
  </si>
  <si>
    <t>Disponer de información actualizada de los servidores del MEN utilizando los Sistemas de Información disponibles tanto externos (SIGEP) como internos , con el fin de garantizar la calidad de la planeación y gestión del Talento Humano.</t>
  </si>
  <si>
    <t>Realizar las actividades requeridas para que el 100% de los servidores actualicen la información de la Declaración Juramentada de Bienes y Rentas correspondiente al año  2015 en el SIGEP</t>
  </si>
  <si>
    <t xml:space="preserve">Elaborar documento para el trámite de las solicitudes de Libranzas (Ley 1527). </t>
  </si>
  <si>
    <t>Actualizar Instructivo de Nómina.</t>
  </si>
  <si>
    <t>Realizar las actividades requeridas para la puesta en producción del sistema SAP.</t>
  </si>
  <si>
    <t>Realizar actividades tendientes a la reducciòn de gasto de nómina en 1.8%, sobre apropiación Año 2015.</t>
  </si>
  <si>
    <t>Mantener actualizada en el SIGEP la información de los servidores que ingresan al Ministerio de Educación Nacional y de aquellos que cambian de empleo.</t>
  </si>
  <si>
    <t>Garantizar la la provisión oportuna  delas vacantes de la planta de personal del ministerio de Educación Nacional, vinculando talento humano competente de acuerdo con las necesidades estratégicas de la Entidad.</t>
  </si>
  <si>
    <t xml:space="preserve">90% de los empleos del Ministerio  Ministerio provistos. </t>
  </si>
  <si>
    <t>Cumplir con el 100% de las actividades del Plan Anual de Vacantes</t>
  </si>
  <si>
    <t>Actualizar el 100% de los Manual de Funciones  y Competencias Laborales de los empleos del MEN.</t>
  </si>
  <si>
    <t xml:space="preserve">Reduccir en un  30%  el tiempo de la provision de vacantes. </t>
  </si>
  <si>
    <t>Gestionar el PIC con el fin de promover el desarrollo integral del talento humano del MEN, a través del fortalecimiento y la potencialización de sus competencias, contribuyendo a mejorar la calidad de su desempeño y fortaleciendo su competitividad laboral.</t>
  </si>
  <si>
    <t>Ejecuatr el 100% de las actividades del Plan Institucional de Capacitación del año.</t>
  </si>
  <si>
    <t xml:space="preserve">Participación del 75% de los servidores convocados a actividades de capacitación </t>
  </si>
  <si>
    <t>Obtener calificación mínima de 4,0 en Evaluaciones de Satisfacción de actividades del Plan Institucional de Capacitación</t>
  </si>
  <si>
    <t xml:space="preserve">Ejecutar las actividades del Plan Anticorrupción 2015 correspondiente al componente de la Subdirección de Talento Humano: "Afianzar la Cultura de Servicio al Ciudadano en los Servidores Públicos" </t>
  </si>
  <si>
    <t>Realizar evaluación de impacto al 100% de  las actividades del Plan Institucional de Capacitación identificadas en el Plan Operativo.</t>
  </si>
  <si>
    <t>Desarrollar actividades orientadas a propiciar condiciones en el ambiente de trabajo que motiven al servidor, favorezcan su calidad de vida laboral y desarrollo personal, buscando el mejoramiento de su nivel de vida y el de sus familias.</t>
  </si>
  <si>
    <t xml:space="preserve">Adelantar las actividades requeridas para que la información de la encuesta de necesidades e intereses en materia de bienestar social se encuentre actualizada:  personal activo a 31 de Diciembre del 2014 y  100% del personal que ingrese entre el 1 de Enero y el 31 de Diciembre de 2015. </t>
  </si>
  <si>
    <t xml:space="preserve">Cumplir con el 100% de las actividades del Plan de Bienestar Institucional 2015. </t>
  </si>
  <si>
    <t xml:space="preserve">Ejecutar el 100% de las actividades del Plan de Incentivos 2015. </t>
  </si>
  <si>
    <t xml:space="preserve">Cobertura del 75% del Plan de Bienestar de los servidores vinculados a la planta de personal. </t>
  </si>
  <si>
    <t>Ejecutar las actividades del Plan Operativo del SGSST</t>
  </si>
  <si>
    <t>Medir objetiva y periódicamente, el grado de cumplimiento de los compromisos establecidos para los diferentes servidores, en relación a las funciones y actividades asignadas, objetivos del cargo y del área; con miras al cumplimiento de los objetivos y metas institucionales.</t>
  </si>
  <si>
    <t>Adelantar el 100% de las actividades de acompañamiento y seguimiento a  los servidores sujetos de evaluación y a sus evaluadores en las fases del proceso de evaluación del desempeño.</t>
  </si>
  <si>
    <t>Desarrollar la Guía y los talleres para fortalecer la competencia de los evaluados y evaluadores en la fijación de compromisos y rettroalimentación en la evaluación del desempeño laboral</t>
  </si>
  <si>
    <t>DEPENDENCIA</t>
  </si>
  <si>
    <t>% DE CUMPLIMIENTO FRENTE A LA VIGENCIA</t>
  </si>
  <si>
    <t>% DE CUMPLIMIENTO FRENTE A LO PLANEADO</t>
  </si>
  <si>
    <t>Oficina Asesora Jurídica</t>
  </si>
  <si>
    <t>Oficina Asesora de Comunicaciones</t>
  </si>
  <si>
    <t>Oficina Asesora de Planeación y Finanzas</t>
  </si>
  <si>
    <t>Oficina de Tecnología y Sistemas de Información</t>
  </si>
  <si>
    <t>Oficina de Innovación Educativa con Uso de Nuevas Tecnologías</t>
  </si>
  <si>
    <t>Oficina de Cooperación y Asuntos Internacionales</t>
  </si>
  <si>
    <t>Oficina de Control Interno</t>
  </si>
  <si>
    <t>Subdirección de Gestión Financiera</t>
  </si>
  <si>
    <t>Subdirección de Contratación</t>
  </si>
  <si>
    <t xml:space="preserve">Subdirección de Gestión Administrativa y Operaciones </t>
  </si>
  <si>
    <t>Subdirección de Talento Humano</t>
  </si>
  <si>
    <t>Subdirección de Desarrollo Organizacional</t>
  </si>
  <si>
    <t>Unidad de Atención al Ciudadano</t>
  </si>
  <si>
    <t>CONSOLIDADO % CUMPLIMIENTO FRENTE A LO PLANEADO I SEMESTRE</t>
  </si>
  <si>
    <t>CONSOLIDADO % CUMPLIMIENTO FRENTE A LA VIGENCIA I SEMESTRE</t>
  </si>
  <si>
    <t>OFICINA DE COMUNICACIONES</t>
  </si>
  <si>
    <t>Contribuir al logro de los objetivos y metas del Ministerio de Educación Nacional planteados en las cinco líneas estratégicas, promoviendo la articulación y sostenibilidad del Modelo de Integración Institucional y el fortalecimiento de la excelencia como factor clave en la cultura organizacional.</t>
  </si>
  <si>
    <t>Divulgar y posicionar en los medios de comunicación  (prensa, radio, televisión, digitales) las actividades, eventos, temas estratégicos y temas coyunturales de la agenda educativa, con el ánimo de dar a conocer a la comunidad los avances y logros en Educación Integral a la Primera Infancia, Educación Preescolar, Básica  y Media y Educación Superior.</t>
  </si>
  <si>
    <t>Apoyar y organizar las jornadas, actos y encuentros del Ministerio de Educación en desarrollo de sus líneas estratégicas.</t>
  </si>
  <si>
    <t>Generar acciones estratégicas de Social Media tendientes a fortalecer la participación ciudadana construyendo relaciones asertivas con la comunidad digital a fin de posicionar la agenda educativa en el contexto virtual.</t>
  </si>
  <si>
    <t>Quinientas (500) piezas de comunicación publicadas en los canales internos de la entidad.</t>
  </si>
  <si>
    <t xml:space="preserve">Cinco (5) Estrategias de Comunicación Interna elaboradas en el marco de los ejes temáticos del Plan de Comunicación Interna. </t>
  </si>
  <si>
    <t>Ciento cincuenta (150)  actualizaciones  de información publicadas en el Home y la herramienta “Nuestros Medios.”</t>
  </si>
  <si>
    <t>Una (1) estrategia de comunicaciones que dé alcance a los líneamientos establecidos en MECI.</t>
  </si>
  <si>
    <t>Cinco (5) Estrategias de Comunicación elaboradas en el marco de las lineas estrategicas del MEN.</t>
  </si>
  <si>
    <t>Mil quinientas (1.500) acciones de divulgación de la gestión del Ministerio de Educación Nacional.</t>
  </si>
  <si>
    <t>Cincuenta (50) eventos del MEN con acompañamiento logístico, de protocolo y seguimiento de agenda.</t>
  </si>
  <si>
    <t>Una (1) página web rediseñada y que fortalece los canales de interacción y atención al ciudadano.</t>
  </si>
  <si>
    <t>Un (1) sistema de envío masivo para correos electrónicos modernizado.</t>
  </si>
  <si>
    <t>7.000.000 visitas a la página Web del Ministerio de Educación durante 2014</t>
  </si>
  <si>
    <t>110.000 seguidores en la FanPage de Facebook del Ministerio de Educación Nacional al finalizar 2015</t>
  </si>
  <si>
    <t>300.000 seguidores en la cuenta de twitter del Ministerio de Educación Nacional al finalizar 2015</t>
  </si>
  <si>
    <t>2.500 suscriptores en el canal de YouTube del Ministerio de Educación Nacional al finalizar 2015</t>
  </si>
  <si>
    <t>100.000 reproducciones de videos publicados en el canal oficial de YouTube del Ministerio de Educación Nacional al finalizar 2015</t>
  </si>
  <si>
    <t>70.000 seguidores en la cuenta de Google+ del Ministerio de Educación Nacional</t>
  </si>
  <si>
    <t>ENCIMA</t>
  </si>
  <si>
    <t>IGUAL</t>
  </si>
  <si>
    <t>DEBAJO</t>
  </si>
  <si>
    <t xml:space="preserve">Coordinar las acciones de cooperación  para el sector educativo y gestionar las relaciones internacionales del MEN.  </t>
  </si>
  <si>
    <t xml:space="preserve">Diseño e implementación de estrategias de alianzas con los sectores privado,  solidario  y organizaciones internacionales que nos permitan obtener $22.000.000.000 de cooperación. </t>
  </si>
  <si>
    <t>Identificar al menos 3 buenas prácticas Internacionales) que permitan impactar la formulación y ejecución de politica desde las áreas misionales.</t>
  </si>
  <si>
    <t xml:space="preserve">Acompañamiento, asesoría y apoyo a los despachos de la Ministra de Educación y los Viceministerios en la preparación y desarrollo de información para la participación del Ministerio en eventos de carácter  internacional.   </t>
  </si>
  <si>
    <t>Presencia del MEN en los espacios regionales</t>
  </si>
  <si>
    <t>Acompañar al Viceministerio de Educaciòn Superior en la promociòn de la internacionalización de la educación superior</t>
  </si>
  <si>
    <t>Seguimiento a los convenios de asociación y cooperación  suscritos por el ministerio durante la vigencia</t>
  </si>
  <si>
    <t>Contribuir al logro de los objetivos y metas del Ministerio de Educación Nacional planteados en las cinco líneas estratégicas, promoviendo la articulación y sostenibilidad del Modelo de Integración Institucional y el fortalecimiento del Proceso de Transformación Organizacional.</t>
  </si>
  <si>
    <t>500.000 seguidores en la cuenta de twitter del Ministerio de Educación Nacional al finalizar 2016</t>
  </si>
  <si>
    <t>300.000 seguidores en la cuenta de Google+ del Ministerio de Educación Nacional</t>
  </si>
  <si>
    <t>Mantener la disponibilidad y uso de los recursos para la prestación de los servicios administrativos del MEN.</t>
  </si>
  <si>
    <t>Tramitar y realizar el seguimiento a la ejecución de las acciones necesarias para garantizar que las Instalaciones, infraestructura y parque automotor  estén en condiciones aptas para la adecuada prestación del servicio.</t>
  </si>
  <si>
    <t>Garantizar y realizar el seguimiento de la prestación de los servicio de vigilancia aseo y cafetería.</t>
  </si>
  <si>
    <t xml:space="preserve">Tramitar y gestionar  las comisiones solicitadas por los servidores del MEN </t>
  </si>
  <si>
    <t>Realizar el trámite de las comisiones solicitadas por los servidores del MEN, con el fin de garantizar los desplazamientos con  efectividad y oportunidad.</t>
  </si>
  <si>
    <t>Administrar custodiar y optimizar los recursos para satisfacer las necesidades de las áreas del MEN</t>
  </si>
  <si>
    <t xml:space="preserve">Participar y fortalecer los programas ambientales dando cumplimiento a las políticas establecidas para el MEN. </t>
  </si>
  <si>
    <t>Garantizar el control operacional ambiental de los procesos a cargo de la SGA</t>
  </si>
  <si>
    <t>Fortalecimiento de la atencion al ciudadano</t>
  </si>
  <si>
    <t>Optimizar la atencion al ciudadano</t>
  </si>
  <si>
    <t>Optimizacion del proceso de gestion documental</t>
  </si>
  <si>
    <t>Aplicación de las Tablas de Valoración Documental</t>
  </si>
  <si>
    <t xml:space="preserve">Interoperabilidad del Sistema de Gestión Documental con los Sistemas de Información de otras Dependencias y con el Sistema de archivo Mercurio.
</t>
  </si>
  <si>
    <t>Optimización del Centro de Documentación mediante el apoyo a las dependencias en la distribución del material  de depósito legal y distribución  a nivel Nacional de todo el material bibliográfico y de elementos operativos.</t>
  </si>
  <si>
    <t>Optimización de  las especificaciones técnicas del proceso de Atención al Ciudadano  del Ministerio de Educación Nacional y de  las Secretarías de Educación</t>
  </si>
  <si>
    <t>Fomentar el uso educativo de las TIC en los establecimientos educativos de preescolar, básica y media  para contribuir en el mejoramiento de prácticas y de la calidad educativa.</t>
  </si>
  <si>
    <t>33 planes regionales de uso educativo de TIC en proceso de implementación .</t>
  </si>
  <si>
    <t xml:space="preserve">Direccionar y orientar la implementación y seguimiento del modelo  de formación con  uso guiado de TIC </t>
  </si>
  <si>
    <t>Gestionar  las convocatorias de experiencias significativas y prácticas en gestión de TIC adelantadas por la OIE</t>
  </si>
  <si>
    <t>Fomentar el uso de contenidos educativos digitales en las Instituciones de Educación Superior  para contribuir en el mejoramiento de la calidad educativa.</t>
  </si>
  <si>
    <t>10 planes institucionales  con uso de TIC  en proceso de implementación  </t>
  </si>
  <si>
    <t xml:space="preserve">Aportar a la calidad de la educación superior a través del mejoramiento de la visibilidad web de las IES </t>
  </si>
  <si>
    <t>Gestión de Contenidos Digitales y Portal educativo</t>
  </si>
  <si>
    <t>1.500.000 estudiantes y/o maestros con acceso a contenidos educativos digitales, plataformas educativas y servicios del Portal</t>
  </si>
  <si>
    <t>Fomento a la investigación, monitoreo y evaluación</t>
  </si>
  <si>
    <t>Diseñar la  version 2.0 del Observatorio de Innovación Educativa con Uso de TIC</t>
  </si>
  <si>
    <t>Hacer seguimiento a  programas y proyectos de investigación  en innovación educativa con uso de TIC que adelantan las instituciones contratadas en el marco del Convenio MEN-Colciencias</t>
  </si>
  <si>
    <t>Gestionar el proyecto "Construcción de indicadores y metodologías para medir el uso de TIC en el aula"</t>
  </si>
  <si>
    <t>Generar los informes y reportes de monitoreo y seguimiento de las actividades que adelanta la OIE</t>
  </si>
  <si>
    <t>Implementar el Plan Nacional Colegio 10TIC en 500 Instituciones Educativas que hacen parte del Programa Pioneros de la calidad.</t>
  </si>
  <si>
    <t>Seguimiento permanente a actividades con verificacion de calidad de producto.</t>
  </si>
  <si>
    <t>Ejecución 100% de la Fase l del Proyecto RENE:  Arquitectura, Definición y Diseño del  Registro Nacional de Educacion -RENE</t>
  </si>
  <si>
    <t>Implementación del ERP de SAP para los procesos Financieros, de Compras y de Gestión Humana</t>
  </si>
  <si>
    <t xml:space="preserve"> 76% de la matrícula oficial con conexión a internet</t>
  </si>
  <si>
    <t xml:space="preserve">100% de la planeación del Sistema de Gestión de Seguridad de la Información </t>
  </si>
  <si>
    <t>Apoya la ejucion de los contratos de la operación logistica para satisfacer las necesidas de las ares del MEN</t>
  </si>
  <si>
    <t>Implementar y hacer seguimiento al macro proceso.</t>
  </si>
  <si>
    <t>Garantizar el control y seguimiento del contrato de operación logistica, en procura de la satisfacción de las necesidades de las dependencias, con la aplicación de buenas practicas de oportunidad y valor agregado</t>
  </si>
  <si>
    <t>Recaudo del 100% neto por concepto de aportes de ley 21 de 1982 por la vigencia 2016 proyectado por $ 240.548.561.390</t>
  </si>
  <si>
    <t>Constitución del 100% de la cartera con el total de las entidades en mora por períodos de vigencias anteriores hasta el 2015, identificadas trimestralmente, correspondiente a la ley 21 de 1982.</t>
  </si>
  <si>
    <t>La meta proyectada por concepto del recaudo de Educación Superior para la vigencia 2016 es de $12.809.698.586,98,</t>
  </si>
  <si>
    <t>La meta proyectada por concepto del recaudo Contribución de la Estampilla (Ley 1697 de 2013) para la vigencia 2016 es de $51.801.031.460</t>
  </si>
  <si>
    <t xml:space="preserve"> Llevar el control y hacer el análisis del presupuesto para la generación de informes tanto internos
como externos</t>
  </si>
  <si>
    <t>Ejecución de Compromisos presupuestales, teniendo en cuenta las metas de ejecucion de compromisos  99,95% para la vigencia actual.</t>
  </si>
  <si>
    <t>Ejecucion de Registro de Obligaciones teniendo en cuenta las metas de ejecucion de obligaciones  99,78% para la vigencia actual.</t>
  </si>
  <si>
    <t>Elaboracion de doce (12) conciliaciones de cuentas contables en la vigencia</t>
  </si>
  <si>
    <t>Presentacion anual de tres (3) conciliaciones de cuentas contables de periodicidad trimestral</t>
  </si>
  <si>
    <t>Seguimiento a las cuentas Recursos Entregados en Administración  &amp; Anticipos</t>
  </si>
  <si>
    <t>FORTALECIMIENTO DE LA GESTIÓN DEL CONOCIMIENTO Y LA INNOVACIÓN</t>
  </si>
  <si>
    <t xml:space="preserve">100% de equipos de trabajo identificados como gestores efectivos de conocimiento con comunidades de práctica funcionando en la intranet  </t>
  </si>
  <si>
    <t>Disponer de información actualizada de los servidores del MEN en los Sistemas de Información  tanto externos (SIGEP) como internos , con el fin de garantizar la calidad de la planeación y gestión del Talento Humano.</t>
  </si>
  <si>
    <t>Incrementar en un 10% el porcentaje de vinculación en SIGEP de los servidores activos</t>
  </si>
  <si>
    <t xml:space="preserve">Garantizar la provisión oportuna  de las vacantes de la planta de personal del Ministerio de Educación Nacional, vinculando talento humano competente de acuerdo con los perfiles y necesidades organizacionales. </t>
  </si>
  <si>
    <t>Diseñar, ejecutar y evaluar el Plan Institucional de Capacitación (PIC) con el fin de fortalecer las competencias funcionales y comportamentales de los servidores del Ministerio de Educación Nacional, para mejorar el desempeño y la competitividad laboral.</t>
  </si>
  <si>
    <t>Obtener calificación mínima de 4,2 en Evaluaciones de Satisfacción de actividades del PIC</t>
  </si>
  <si>
    <t>Obtener calificación mínima de 4,0 en evaluación de impacto de  las actividades del Plan Institucional de Capacitación del 2016 identificadas en el Plan Operativo</t>
  </si>
  <si>
    <t>Diseñar, ejecutar y evaluar el Plan Anual de Estímulos con el fin de fortalecer el ambiente y la calidad de vida laboral de los servidores del Ministerio de Educación Nacional.</t>
  </si>
  <si>
    <t>Diseñar, ejecutar y evaluar las actividades del Sistema de Gestión de Seguridad y Salud en el Trabajo con el próposito de realizar prevención, control y seguimiento de los riesgos asociados al desarrollo de la labor que afectan la salud de los colaboradores.</t>
  </si>
  <si>
    <t>Garantizar la realización oportuna y objetiva de la evaluación del desempeño y gestión de los servidores del Ministerio de Educación Nacional de acuerdo con las herramientas dispuestas para cada tipo de vinculación haciendo seguimiento a la adopción de los planes de mejora respectivos.</t>
  </si>
  <si>
    <t>Fortalecer el Modelo de Gestión del Talento Humano que fundamenta el Plan Estrategico de Recursos Humanos del Ministerio de Educación Nacional.</t>
  </si>
  <si>
    <t>Consolidar el Sistema de Gestión Documental del MEN</t>
  </si>
  <si>
    <t>Fortalecimiento de la atencion al ciudadano en Secretarias de Educación Certificadas.</t>
  </si>
  <si>
    <t>Realizar planeación sectorial e institucional así como hacer seguimiento, análisis y evaluación de la misma partiendo de su articulación con el Plan Nacional de Desarrollo y el Plan Sectorial de Educación</t>
  </si>
  <si>
    <t xml:space="preserve">Formular una estrategia permanente de Rendición de Cuentas del Ministerio de Educación hacia la ciudadanía y el sector. </t>
  </si>
  <si>
    <t>Publicar la definición la Estrategia Institucional y sectorial</t>
  </si>
  <si>
    <t>100% de Fichas EBI ajustadas a las cadenas de valor del MEN (ajuste a Decreto de Liquidación 2016)</t>
  </si>
  <si>
    <t>Proyecto de Fichas EBI con la formulación de las cadenas de Valor del MEN de 2016 (Para solicitar recursos de inversión 2017)</t>
  </si>
  <si>
    <t>Garantizar la distribución eficiente de los recursos del sector y realizar el seguimiento a su ejecución</t>
  </si>
  <si>
    <t>Diagnosticar la posición de Colombia en cuanto al gasto público en educación frente a otros países, y frente a otros gastos sectoriales</t>
  </si>
  <si>
    <t>Realizar seguimiento detallado a la ejecución presupuestal de la entidad a nivel de rubros</t>
  </si>
  <si>
    <t>Garantizar el giro oportuno de recursos del SGP educación</t>
  </si>
  <si>
    <t>Realizar seguimiento detallado a la ejecución presupuestal de las entidades adscritas  a nivel de rubros</t>
  </si>
  <si>
    <t>Garantizar la distribución eficiente de los recursos del SGP educación a todas las ETC</t>
  </si>
  <si>
    <t>Realizar la presupuestación de gastos de funcionamiento y de inversión del MEN</t>
  </si>
  <si>
    <t>Garantizar la oferta de plantas docentes en todas las ETC en función de la viabilidad financiera del sector</t>
  </si>
  <si>
    <t xml:space="preserve">Garantizar la dsitribución equitativa y eficiente de los recursos provenientes del PGN a las universidades públicas, </t>
  </si>
  <si>
    <t>Garantizar la dsitribución equitativa y eficiente de los recursos provenientes del PGN a las ET para financiar la estrategia de alimentación escolar</t>
  </si>
  <si>
    <t>Validar los procesos de contratación de la prestación del servicio educativo a través del análisis conjunto con DFGT y DCE de los estudios de insuficiencia presentados por las ETC</t>
  </si>
  <si>
    <t>Desarrollar y divulgar información estadística e indicadores sectoriales</t>
  </si>
  <si>
    <t>100% de desarrollo de geoportal para consolidación y gestión de los puntos georeferenciados de las sedes educativas de preescolar, basica y media</t>
  </si>
  <si>
    <t>!00% de los indicadores del sector educativo actualizados en la página Web del Ministerio (Estadísticas sectoriales)</t>
  </si>
  <si>
    <t>100% de BI Oracle implementado y en funcionamiento</t>
  </si>
  <si>
    <t>100% del diseño y cargue de la base de datos Maestro de Personas con la información con corte a noviembre de 2016</t>
  </si>
  <si>
    <t>100% de avance en la elaboración, consolidación y actualización de los documentos estadisticos a publicar en la vigencia</t>
  </si>
  <si>
    <t>100% del proceso de consolidación de la matrícula automatizado</t>
  </si>
  <si>
    <t>2 acuerdos de intercambio de información firmados</t>
  </si>
  <si>
    <t>Apoyar a las entidades territoriales en la formulación y presentación de proyectos en el Sistema General de Regalías</t>
  </si>
  <si>
    <t xml:space="preserve">100% de conceptos técnicos elaborados </t>
  </si>
  <si>
    <t>Actualización Guia 47:
Formulación de proyectos del sector Educativo en el marco del SGR</t>
  </si>
  <si>
    <t>100% de seguimiento al ciclo de los proyectos sectoriales formulados con recursos del SGR</t>
  </si>
  <si>
    <t>Convocar, evaluar y seleccionar a la persona natural o jurídica, que ofrezca las condiciones técnicas, económicas y administrativas que más se ajusten a los requerimientos determinados por el MEN para el suministro de un bien, obra o servicio</t>
  </si>
  <si>
    <t xml:space="preserve">Adelantar  en la vigencia 2016 el 100% de los procesos  de contratación que se programen por las areas en el sistema NEON y que cumplan con la totalidad de requisitos para su culminación en los términos legales y de acuerdo al SIG. En coordinación con lo plasmado en el Plan anual de adquisiciones </t>
  </si>
  <si>
    <t>Publicidad y transparencia de los procesos de contratación del Ministerio de Educación Nacional</t>
  </si>
  <si>
    <t>Publicar el 100% de la información relacionda con la contratación del Minsterio de Educación Nacional por mes, en la pagina web del MEN (avisos de convotoria) y en el SECOP</t>
  </si>
  <si>
    <t>Dar cierre mediante documento idóneo (acta de liquidación, resolución de liquidación unilateral, constancia de no liquidación, Acto de Improcedencia de contratos/convenios etc.) al 75% de los Contratos, Órdenes de Aceptación, de Oferta o Convenios celebrados por el Ministerio de Educación Nacional, cuyo informe final correctamente diligenciado sea radicado en la Subdirección de Contratación entre el 01 de enero y el 30 de noviembre de 2016, y cuente con la documentación necesaria, evidenciando que no existen condiciones que impidan el cierre o liquidación.</t>
  </si>
  <si>
    <t>Definir los procesos de auditoría que permitan asegurar la calidad de la información que reportan las Secretarias de Educación y las Instituciones de Educación Superior en los sistemas de información del sector educativo</t>
  </si>
  <si>
    <t xml:space="preserve">Conocer de los resultados definitivos del proceso auditor de la vigencia 2015 para el viceministerio de Educación PBM </t>
  </si>
  <si>
    <t xml:space="preserve">Conocer de los resultados definitivos del proceso auditor de la vigencia 2015 para el viceministerio de Educación superior </t>
  </si>
  <si>
    <t>Reportar de IE que no reportan no cuentan con programas o están inactivas.</t>
  </si>
  <si>
    <t xml:space="preserve">socializar la reglas de priorizadas en las áreas del viceministerio de PBM para el proceso auditor </t>
  </si>
  <si>
    <t xml:space="preserve">Socializar reglas de priorizadas en las áreas del viceministerio deEducación Superior para el proceso auditor </t>
  </si>
  <si>
    <t>Construir modelo predictivo aplicado a la focalización y priorización de unidades de análisis del proceso auditor utilizando CRISP data/text mining</t>
  </si>
  <si>
    <t>Adjudicar Proceso Auditor de la vigencia 2016</t>
  </si>
  <si>
    <t>Socializar los Informes de trabajo de campo del proceso auditor para el viceministerio PBM.</t>
  </si>
  <si>
    <t>Socializar los Informes de trabajo de campo del proceso auditor para el viceministerio Viceministerio de Educación Superior.</t>
  </si>
  <si>
    <t>Preparar, revisar o ajustar oportunamente el 100% de los proyectos de: decreto, resoluciones, directivas y circulares de interés sectorial que sean requeridos por el despacho de la Ministra o por las áreas misionales.</t>
  </si>
  <si>
    <t>Apoyar la formulación de politicas de prevención del daño antijuridico y realizar el  seguimiento al cumplimiento</t>
  </si>
  <si>
    <t xml:space="preserve">Elaborar manual de defensa del Ministerio de Educación Nacional </t>
  </si>
  <si>
    <t>Restructurar proceso de asuntos contensiosos de acuerdo a los parametros del Modelo optimo de gestión (cumplimieto de sentencias,  acciones de repetición, indicadores del proceso)</t>
  </si>
  <si>
    <t>Coordinar y realizar comité jurídico del  Fomag del manera quincenal</t>
  </si>
  <si>
    <t>GESTIÓN DE LA CULTURA ORGANIZACIONAL Y GESTIÓN DEL CAMBIO</t>
  </si>
  <si>
    <t>Subir 1 nivel en el Índice de Ambiente Laboral “Great Place to Work”</t>
  </si>
  <si>
    <t>FORTALECIMIENTO DE LA ARQUITECTURA  ORGANIZACIONAL</t>
  </si>
  <si>
    <t>Optimizar los procesos  del  Ministerio de acuerdo al enfoque  estratégico.</t>
  </si>
  <si>
    <t>Intervenir y optimización de la estructura del  Ministerio de acuerdo al enfoque  estratégico.</t>
  </si>
  <si>
    <t>100% del macroproceso de mejoramiento rediseñado</t>
  </si>
  <si>
    <t>Implementación de un nuevo modelo referencial en el SIG del MEN (Sistema de Gestion de Seguridad de la información)</t>
  </si>
  <si>
    <t>Incrementar  el desempeño del SIG, al 94% de efectividad</t>
  </si>
  <si>
    <t>FORTALECIMIENTO Y DESCENTRALIZACIÓN DE LAS ENTIDADES ADSCRITAS Y VINCULADAS</t>
  </si>
  <si>
    <t>100% de las entidades adscritas y vinculadas con incremento en sus índices de gestión</t>
  </si>
  <si>
    <t xml:space="preserve"> 5 entidades (Institutos Tecnicos y Tecnológicos) descentralizados</t>
  </si>
  <si>
    <t>RELACIONAMIENTO CON GRUPOS DE INTERES</t>
  </si>
  <si>
    <t>50% del Sistema de relacionamiento con grupos de interés implementado</t>
  </si>
  <si>
    <t xml:space="preserve"> Efectuar auditoria en un mínimo del 50% del total de los procesos  en los cuales es parte el MEN, distintos al Fomag, cuya representación judicial es ejercida por abogados externos durante la vigencia 2016.</t>
  </si>
  <si>
    <t>Indicador</t>
  </si>
  <si>
    <t xml:space="preserve">(Número de comunidades asesoradas/Número total de comunidades creadas)*100 </t>
  </si>
  <si>
    <t>Puntaje obtenido/puntaje de base*100-100</t>
  </si>
  <si>
    <t xml:space="preserve">No de procesos optimizados/No proceso priorizados </t>
  </si>
  <si>
    <t>% de avance en el cronograma de intervención propuesto</t>
  </si>
  <si>
    <t xml:space="preserve">Propuesta de nueva Estructura para el MEN </t>
  </si>
  <si>
    <t>Porcentaje de avance en las etapas del rediseño  / (Número total de etapas)</t>
  </si>
  <si>
    <t>Porcentaje de avance en las etapas de implementación del SGSI  / (Número total de etapasplaneadas)</t>
  </si>
  <si>
    <t xml:space="preserve"> % de desempeño del SIG en el año 2016 (corte 1  semestre del año)</t>
  </si>
  <si>
    <t>(Etapas de fortalecimiento del SIG ejecutadas  / Número total de etapas ) *100</t>
  </si>
  <si>
    <t>Incrementar 6 puntos sobre el resultado 2015 Furag - Sector</t>
  </si>
  <si>
    <t>Ejecutar al 100% el plan de asistencia técnica</t>
  </si>
  <si>
    <t>(Entidades adscritas y vinculadas en proceso de descentralización/5)*100</t>
  </si>
  <si>
    <t>Actividades ejecutadas para la implementación del Sistema de Relacionamiento con Grupos de interes / Actividades planeadas para la implentación del Sistema de Relacionamiento con grupos de interes  ) *100</t>
  </si>
  <si>
    <t>200 Instituciones Educativas intervenidas presencialmente con el modelo Colegio 10 TIC.</t>
  </si>
  <si>
    <t>300 Instituciones Educativas intervenidas a través del Centro de Atención Virtual, en el marco del Plan Nacional Colegio 10 TIC.</t>
  </si>
  <si>
    <t>FRENTE A LO PLANEADO</t>
  </si>
  <si>
    <t>FRENTE A LA VIGENCIA</t>
  </si>
  <si>
    <t xml:space="preserve">Realizar seguimiento sobre los contratos de representación judicial, mediante la revision de informes.  </t>
  </si>
  <si>
    <t>Optimizar el tiempo de los acuerdos de nivel de servicio en dos (2) trámites (certificaciones de:  funciones y tiempos de servicio) para servidores activos</t>
  </si>
  <si>
    <t>Cumplimiento del 100% de la estrategia que promueva que los servidores presenten la documentación para cálculo de Retefuente</t>
  </si>
  <si>
    <t>175 historias laborales completas, con la documentación de cesantías de los servidores activos al 31/12/2015</t>
  </si>
  <si>
    <t>Cumplimiento del 100% de las actividades requeridas para la puesta en producción del sistema SAP en los módulos que soportan la gestión del talento humano</t>
  </si>
  <si>
    <t>Revisión y actualización del 100% de la documentación soporte de los procesos "Seleccionar y Vincular el Talento Humano" y "Gestionar la Desvinculación Laboral"</t>
  </si>
  <si>
    <t>Incrementar el índice de participación de los servidores convocados a actividades de capacitación en un 5% en relación con la meta establecida para 2015</t>
  </si>
  <si>
    <t>Ampliar la cobertura de la plataforma virtual MENTOR al 40% de las entidades adscritas  y vinculadas</t>
  </si>
  <si>
    <t>Reducir en un 60% el tiempo de trámite de permisos de estudio y docencia</t>
  </si>
  <si>
    <t>Alcanzar un índice de participación del 75% de los servidores inscritos o convocados en actividades del Sistema de Estímulos</t>
  </si>
  <si>
    <t>Alcanzar un índice de cobertura del 80% mínimo en una actividad del Sistema de Estímulos a los servidores que estuvieron activos durante el año</t>
  </si>
  <si>
    <t>Alcanzar un índice de cobertura del 50% en 3 o más actividades del sistema a los servidores que estuvieron activos durante el año en un periodo igual o superior a tres meses</t>
  </si>
  <si>
    <t>Alcanzar un índice de participación del 75% de los servidores inscritos o convocados en actividades del SGSST</t>
  </si>
  <si>
    <t>Alcanzar un índice de cobertura del 80% de las actividades del SGSST a los servidores activos durante el año</t>
  </si>
  <si>
    <t>Alcanzar un 75% de cobertura de exámenes médicos periódicos a los servidores que no se lo realizan hace dos años o más</t>
  </si>
  <si>
    <t xml:space="preserve">Implementar el 75% del sistema de evaluación del desempeño que modifica el existente para los servidores vinculados por nombramiento provisional y establece la medición para aquellos nombrados en empleos temporales </t>
  </si>
  <si>
    <t>Obtener calificación mínima de 4,0 en la evaluación de satisfacción de las actividades del programa de desarrollo de competencias específicas para los servidores de los niveles asistencial, técnico, profesional y asesor</t>
  </si>
  <si>
    <t>Actualizar el Plan Estratégico de Talento Humano del Ministerio de Educación Nacional que regirá a partir de la vigencia 2017</t>
  </si>
  <si>
    <r>
      <t xml:space="preserve">Realizar el acompañamiento para el fortalecimiento de la gestión de las áreas de talento humano de mínimo el </t>
    </r>
    <r>
      <rPr>
        <sz val="10"/>
        <color theme="1"/>
        <rFont val="Calibri"/>
        <family val="2"/>
        <scheme val="minor"/>
      </rPr>
      <t>50%</t>
    </r>
    <r>
      <rPr>
        <sz val="10"/>
        <rFont val="Calibri"/>
        <family val="2"/>
        <scheme val="minor"/>
      </rPr>
      <t xml:space="preserve"> las entidades adscritas y vinculadas al Ministerio</t>
    </r>
  </si>
  <si>
    <t>Implementar el 75% de las actividades correspondientes a la fase 1 del Programa de Desarrollo de Competencias</t>
  </si>
  <si>
    <t>Registrar en un 80% las novedades de personal de los servidores que se encuentran en encargo en el año 2016, en el aplicativo SIGEP</t>
  </si>
  <si>
    <t>(# actividades ejecutadas y productos cumplidos  / # actividades ejecutadas y productos planeados ) *100</t>
  </si>
  <si>
    <t>CUMPLIMIENTO DE LA ESTRATEGIA 
(5) = (PROMEDIO DE (3))</t>
  </si>
  <si>
    <t>OFICINA ASESORA JURÍDICA - SEGUIMIENTO III TRIMESTRE 2016</t>
  </si>
  <si>
    <t>SUBDIRECCIÓN DE DESARROLLO ORGANIZACIONAL  - III TRIMESTRE 2016</t>
  </si>
  <si>
    <t>SUBDIRECCIÓN DE GESTIÓN FINANCIERA - III TRIMESTRE 2016</t>
  </si>
  <si>
    <t>SUBDIRECCIÓN DE TALENTO HUMANO - III TRIMESTRE 2016</t>
  </si>
  <si>
    <t>CONSOLIDADO CUMPLIMIENTO FRENTE A LO PLANEADO III SEMESTRE 2016</t>
  </si>
  <si>
    <t>CONSOLIDADO CUMPLIMIENTO FRENTE A LA VIGENCIA III SEMESTRE 2016</t>
  </si>
  <si>
    <t>Responder en el término de veinticinco (25) días el 100% de las consultas presentadas por los Gobernadores, Alcaldes y Secretarios de Educación de las Entidades  territoriales.</t>
  </si>
  <si>
    <t>Dos mil  (2.000) piezas de comunicación publicadas en los canales internos de la entidad.</t>
  </si>
  <si>
    <t xml:space="preserve">Sesenta (60) Estrategias de Comunicación Interna elaboradas en el marco de los ejes temáticos del Plan de Comunicación Interna. </t>
  </si>
  <si>
    <t>Seiscientas  (600)  actualizaciones  de información publicadas en el Home y la herramienta “Nuestros Medios.”</t>
  </si>
  <si>
    <t>Doscientos (200) eventos del MEN con acompañamiento logístico, de protocolo y seguimiento de agenda.</t>
  </si>
  <si>
    <t>16.000.000 visitas a la página Web del Ministerio de Educación durante 2016</t>
  </si>
  <si>
    <t>220.000 seguidores en la FanPage de Facebook del Ministerio de Educación Nacional al finalizar 2016</t>
  </si>
  <si>
    <t>5.000 suscriptores en el canal de YouTube del Ministerio de Educación Nacional al finalizar 2016</t>
  </si>
  <si>
    <t>4.400.000 reproducciones de videos publicados en el canal oficial de YouTube del Ministerio de Educación Nacional al finalizar 2016</t>
  </si>
  <si>
    <t>SE ACEPTA ELIMINAR META PARA ULTIMA TRIMESTRE DE 2016</t>
  </si>
  <si>
    <t>OFICINA DE COMUNICACIONES SEGUIMIENTO III TRIMESTRE 2016</t>
  </si>
  <si>
    <t>OFICINA ASESORA DE PLANEACIÓN Y FINANZAS SEGUIMIENTO III TRIMESTRE 2016</t>
  </si>
  <si>
    <t>OFICINA DE TECNOLOGÍA Y SISTEMAS DE INFORMACIÓN SEGUIMIENTO III TRIMESTRE 2016</t>
  </si>
  <si>
    <t>OFICINA DE INNOVACIÓN EDUCATIVA CON USO DE NUEVAS TECNOLOGÍAS SEGUIMIENTO III TRIMESTRE 2016</t>
  </si>
  <si>
    <t>OFICINA DE COOPERACIÓN Y ASUNTOS INTERNACIONALES  SEGUIMIENTO III TRIMESTRE 2016</t>
  </si>
  <si>
    <t>OFICINA DE CONTROL INTERNO SEGUIMIENTO III TRIMESTRE 2016</t>
  </si>
  <si>
    <t>SUBDIRECCIÓN DE CONTRATACIÓN III TRIMESTRE 2016</t>
  </si>
  <si>
    <t>SUBDIRECCIÓN DE GESTIÓN ADMINISTRATIVA III TRIMESTRE 2016</t>
  </si>
  <si>
    <t>UNIDAD DE ATENCIÓN AL CIUDADANO III TRIMESTRE 2016</t>
  </si>
  <si>
    <t>Definir la estructura organizacional, pedagógica y tecnológica de la  Universidad Corporativa del MEN como escenario de gestión del conocimiento institucional</t>
  </si>
  <si>
    <t>(No. de actividades ejecutadas y productos elaborados/ No. actividades ejecutadas y productos planeados)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</si>
</sst>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333333"/>
      <name val="Arial"/>
      <family val="2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1"/>
      <name val="Arial"/>
      <family val="2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ck">
        <color indexed="64"/>
      </top>
      <bottom style="thin">
        <color theme="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598">
    <xf numFmtId="0" fontId="0" fillId="0" borderId="0" xfId="0"/>
    <xf numFmtId="0" fontId="3" fillId="0" borderId="0" xfId="0" applyFont="1" applyAlignment="1"/>
    <xf numFmtId="10" fontId="3" fillId="0" borderId="0" xfId="1" applyNumberFormat="1" applyFont="1" applyAlignment="1"/>
    <xf numFmtId="10" fontId="0" fillId="0" borderId="0" xfId="1" applyNumberFormat="1" applyFont="1"/>
    <xf numFmtId="0" fontId="4" fillId="0" borderId="2" xfId="0" applyFont="1" applyBorder="1" applyAlignment="1">
      <alignment horizontal="justify" vertical="top" wrapText="1"/>
    </xf>
    <xf numFmtId="10" fontId="5" fillId="2" borderId="20" xfId="1" applyNumberFormat="1" applyFont="1" applyFill="1" applyBorder="1" applyAlignment="1">
      <alignment horizontal="center" vertical="center" wrapText="1"/>
    </xf>
    <xf numFmtId="10" fontId="5" fillId="2" borderId="21" xfId="1" applyNumberFormat="1" applyFont="1" applyFill="1" applyBorder="1" applyAlignment="1">
      <alignment horizontal="center" vertical="center" wrapText="1"/>
    </xf>
    <xf numFmtId="10" fontId="5" fillId="2" borderId="22" xfId="1" applyNumberFormat="1" applyFont="1" applyFill="1" applyBorder="1" applyAlignment="1">
      <alignment horizontal="center" vertical="center" wrapText="1"/>
    </xf>
    <xf numFmtId="10" fontId="5" fillId="2" borderId="23" xfId="1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top" wrapText="1"/>
    </xf>
    <xf numFmtId="10" fontId="5" fillId="2" borderId="32" xfId="1" applyNumberFormat="1" applyFont="1" applyFill="1" applyBorder="1" applyAlignment="1">
      <alignment horizontal="center" vertical="center" wrapText="1"/>
    </xf>
    <xf numFmtId="10" fontId="5" fillId="2" borderId="33" xfId="1" applyNumberFormat="1" applyFont="1" applyFill="1" applyBorder="1" applyAlignment="1">
      <alignment horizontal="center" vertical="center" wrapText="1"/>
    </xf>
    <xf numFmtId="10" fontId="5" fillId="2" borderId="34" xfId="1" applyNumberFormat="1" applyFont="1" applyFill="1" applyBorder="1" applyAlignment="1">
      <alignment horizontal="center" vertical="center" wrapText="1"/>
    </xf>
    <xf numFmtId="10" fontId="5" fillId="2" borderId="35" xfId="1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10" fontId="5" fillId="2" borderId="39" xfId="1" applyNumberFormat="1" applyFont="1" applyFill="1" applyBorder="1" applyAlignment="1">
      <alignment horizontal="center" vertical="center" wrapText="1"/>
    </xf>
    <xf numFmtId="10" fontId="5" fillId="2" borderId="40" xfId="1" applyNumberFormat="1" applyFont="1" applyFill="1" applyBorder="1" applyAlignment="1">
      <alignment horizontal="center" vertical="center" wrapText="1"/>
    </xf>
    <xf numFmtId="10" fontId="5" fillId="2" borderId="41" xfId="1" applyNumberFormat="1" applyFont="1" applyFill="1" applyBorder="1" applyAlignment="1">
      <alignment horizontal="center" vertical="center" wrapText="1"/>
    </xf>
    <xf numFmtId="10" fontId="5" fillId="2" borderId="42" xfId="1" applyNumberFormat="1" applyFont="1" applyFill="1" applyBorder="1" applyAlignment="1">
      <alignment horizontal="center" vertical="center" wrapText="1"/>
    </xf>
    <xf numFmtId="10" fontId="5" fillId="2" borderId="24" xfId="1" applyNumberFormat="1" applyFont="1" applyFill="1" applyBorder="1" applyAlignment="1">
      <alignment horizontal="center" vertical="center" wrapText="1"/>
    </xf>
    <xf numFmtId="10" fontId="5" fillId="2" borderId="25" xfId="1" applyNumberFormat="1" applyFont="1" applyFill="1" applyBorder="1" applyAlignment="1">
      <alignment horizontal="center" vertical="center" wrapText="1"/>
    </xf>
    <xf numFmtId="10" fontId="5" fillId="2" borderId="26" xfId="1" applyNumberFormat="1" applyFont="1" applyFill="1" applyBorder="1" applyAlignment="1">
      <alignment horizontal="center" vertical="center" wrapText="1"/>
    </xf>
    <xf numFmtId="10" fontId="5" fillId="2" borderId="47" xfId="1" applyNumberFormat="1" applyFont="1" applyFill="1" applyBorder="1" applyAlignment="1">
      <alignment horizontal="center" vertical="center" wrapText="1"/>
    </xf>
    <xf numFmtId="9" fontId="0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justify" vertical="top" wrapText="1"/>
    </xf>
    <xf numFmtId="10" fontId="5" fillId="2" borderId="16" xfId="1" applyNumberFormat="1" applyFont="1" applyFill="1" applyBorder="1" applyAlignment="1">
      <alignment horizontal="center" vertical="center" wrapText="1"/>
    </xf>
    <xf numFmtId="10" fontId="5" fillId="2" borderId="17" xfId="1" applyNumberFormat="1" applyFont="1" applyFill="1" applyBorder="1" applyAlignment="1">
      <alignment horizontal="center" vertical="center" wrapText="1"/>
    </xf>
    <xf numFmtId="10" fontId="5" fillId="2" borderId="18" xfId="1" applyNumberFormat="1" applyFont="1" applyFill="1" applyBorder="1" applyAlignment="1">
      <alignment horizontal="center" vertical="center" wrapText="1"/>
    </xf>
    <xf numFmtId="10" fontId="5" fillId="2" borderId="19" xfId="1" applyNumberFormat="1" applyFont="1" applyFill="1" applyBorder="1" applyAlignment="1">
      <alignment horizontal="center" vertical="center" wrapText="1"/>
    </xf>
    <xf numFmtId="10" fontId="0" fillId="0" borderId="54" xfId="1" applyNumberFormat="1" applyFont="1" applyBorder="1" applyAlignment="1">
      <alignment horizontal="center" vertical="center"/>
    </xf>
    <xf numFmtId="10" fontId="0" fillId="0" borderId="55" xfId="1" applyNumberFormat="1" applyFont="1" applyBorder="1" applyAlignment="1">
      <alignment horizontal="center" vertical="center"/>
    </xf>
    <xf numFmtId="10" fontId="0" fillId="0" borderId="56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10" fontId="0" fillId="0" borderId="58" xfId="1" applyNumberFormat="1" applyFont="1" applyBorder="1" applyAlignment="1">
      <alignment horizontal="center" vertical="center"/>
    </xf>
    <xf numFmtId="0" fontId="2" fillId="3" borderId="11" xfId="0" applyFont="1" applyFill="1" applyBorder="1"/>
    <xf numFmtId="9" fontId="2" fillId="3" borderId="53" xfId="0" applyNumberFormat="1" applyFont="1" applyFill="1" applyBorder="1" applyAlignment="1">
      <alignment horizontal="center"/>
    </xf>
    <xf numFmtId="0" fontId="2" fillId="3" borderId="53" xfId="0" applyFont="1" applyFill="1" applyBorder="1"/>
    <xf numFmtId="10" fontId="2" fillId="3" borderId="16" xfId="1" applyNumberFormat="1" applyFont="1" applyFill="1" applyBorder="1" applyAlignment="1">
      <alignment horizontal="center"/>
    </xf>
    <xf numFmtId="10" fontId="2" fillId="3" borderId="17" xfId="1" applyNumberFormat="1" applyFont="1" applyFill="1" applyBorder="1" applyAlignment="1">
      <alignment horizontal="center"/>
    </xf>
    <xf numFmtId="10" fontId="2" fillId="3" borderId="18" xfId="1" applyNumberFormat="1" applyFont="1" applyFill="1" applyBorder="1" applyAlignment="1">
      <alignment horizontal="center"/>
    </xf>
    <xf numFmtId="10" fontId="2" fillId="3" borderId="19" xfId="1" applyNumberFormat="1" applyFont="1" applyFill="1" applyBorder="1" applyAlignment="1">
      <alignment horizontal="center"/>
    </xf>
    <xf numFmtId="10" fontId="2" fillId="3" borderId="16" xfId="1" applyNumberFormat="1" applyFont="1" applyFill="1" applyBorder="1"/>
    <xf numFmtId="10" fontId="2" fillId="3" borderId="17" xfId="1" applyNumberFormat="1" applyFont="1" applyFill="1" applyBorder="1"/>
    <xf numFmtId="10" fontId="2" fillId="3" borderId="18" xfId="1" applyNumberFormat="1" applyFont="1" applyFill="1" applyBorder="1"/>
    <xf numFmtId="10" fontId="2" fillId="3" borderId="59" xfId="1" applyNumberFormat="1" applyFont="1" applyFill="1" applyBorder="1"/>
    <xf numFmtId="10" fontId="2" fillId="3" borderId="19" xfId="1" applyNumberFormat="1" applyFont="1" applyFill="1" applyBorder="1"/>
    <xf numFmtId="10" fontId="2" fillId="3" borderId="17" xfId="1" applyNumberFormat="1" applyFont="1" applyFill="1" applyBorder="1" applyAlignment="1">
      <alignment horizontal="center" vertical="center"/>
    </xf>
    <xf numFmtId="10" fontId="2" fillId="3" borderId="18" xfId="1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0" fontId="6" fillId="4" borderId="16" xfId="1" applyNumberFormat="1" applyFont="1" applyFill="1" applyBorder="1" applyAlignment="1">
      <alignment horizontal="center" vertical="center"/>
    </xf>
    <xf numFmtId="10" fontId="6" fillId="4" borderId="17" xfId="1" applyNumberFormat="1" applyFont="1" applyFill="1" applyBorder="1" applyAlignment="1">
      <alignment horizontal="center" vertical="center"/>
    </xf>
    <xf numFmtId="10" fontId="6" fillId="4" borderId="18" xfId="1" applyNumberFormat="1" applyFont="1" applyFill="1" applyBorder="1" applyAlignment="1">
      <alignment horizontal="center" vertical="center"/>
    </xf>
    <xf numFmtId="10" fontId="6" fillId="4" borderId="19" xfId="1" applyNumberFormat="1" applyFont="1" applyFill="1" applyBorder="1" applyAlignment="1">
      <alignment horizontal="center" vertical="center"/>
    </xf>
    <xf numFmtId="10" fontId="6" fillId="4" borderId="8" xfId="1" applyNumberFormat="1" applyFont="1" applyFill="1" applyBorder="1" applyAlignment="1">
      <alignment horizontal="center" vertical="center"/>
    </xf>
    <xf numFmtId="10" fontId="6" fillId="4" borderId="4" xfId="1" applyNumberFormat="1" applyFont="1" applyFill="1" applyBorder="1" applyAlignment="1">
      <alignment horizontal="center" vertical="center"/>
    </xf>
    <xf numFmtId="10" fontId="6" fillId="4" borderId="9" xfId="1" applyNumberFormat="1" applyFont="1" applyFill="1" applyBorder="1" applyAlignment="1">
      <alignment horizontal="center" vertical="center"/>
    </xf>
    <xf numFmtId="10" fontId="6" fillId="4" borderId="3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 vertical="center"/>
    </xf>
    <xf numFmtId="9" fontId="5" fillId="2" borderId="20" xfId="1" applyNumberFormat="1" applyFont="1" applyFill="1" applyBorder="1" applyAlignment="1">
      <alignment horizontal="center" vertical="center" wrapText="1"/>
    </xf>
    <xf numFmtId="9" fontId="5" fillId="2" borderId="21" xfId="1" applyNumberFormat="1" applyFont="1" applyFill="1" applyBorder="1" applyAlignment="1">
      <alignment horizontal="center" vertical="center" wrapText="1"/>
    </xf>
    <xf numFmtId="9" fontId="5" fillId="2" borderId="22" xfId="1" applyNumberFormat="1" applyFont="1" applyFill="1" applyBorder="1" applyAlignment="1">
      <alignment horizontal="center" vertical="center" wrapText="1"/>
    </xf>
    <xf numFmtId="9" fontId="5" fillId="2" borderId="24" xfId="1" applyNumberFormat="1" applyFont="1" applyFill="1" applyBorder="1" applyAlignment="1">
      <alignment horizontal="center" vertical="center" wrapText="1"/>
    </xf>
    <xf numFmtId="9" fontId="5" fillId="2" borderId="25" xfId="1" applyNumberFormat="1" applyFont="1" applyFill="1" applyBorder="1" applyAlignment="1">
      <alignment horizontal="center" vertical="center" wrapText="1"/>
    </xf>
    <xf numFmtId="9" fontId="5" fillId="2" borderId="26" xfId="1" applyNumberFormat="1" applyFont="1" applyFill="1" applyBorder="1" applyAlignment="1">
      <alignment horizontal="center" vertical="center" wrapText="1"/>
    </xf>
    <xf numFmtId="10" fontId="2" fillId="3" borderId="16" xfId="1" applyNumberFormat="1" applyFont="1" applyFill="1" applyBorder="1" applyAlignment="1">
      <alignment horizontal="center" vertical="center"/>
    </xf>
    <xf numFmtId="10" fontId="2" fillId="3" borderId="17" xfId="1" applyNumberFormat="1" applyFont="1" applyFill="1" applyBorder="1" applyAlignment="1">
      <alignment vertical="center"/>
    </xf>
    <xf numFmtId="10" fontId="2" fillId="3" borderId="18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0" fontId="2" fillId="3" borderId="60" xfId="1" applyNumberFormat="1" applyFont="1" applyFill="1" applyBorder="1" applyAlignment="1">
      <alignment vertical="center"/>
    </xf>
    <xf numFmtId="10" fontId="2" fillId="3" borderId="61" xfId="1" applyNumberFormat="1" applyFont="1" applyFill="1" applyBorder="1" applyAlignment="1">
      <alignment vertical="center"/>
    </xf>
    <xf numFmtId="10" fontId="2" fillId="3" borderId="62" xfId="1" applyNumberFormat="1" applyFont="1" applyFill="1" applyBorder="1" applyAlignment="1">
      <alignment vertical="center"/>
    </xf>
    <xf numFmtId="0" fontId="0" fillId="0" borderId="0" xfId="0" applyFill="1"/>
    <xf numFmtId="9" fontId="5" fillId="2" borderId="33" xfId="1" applyNumberFormat="1" applyFont="1" applyFill="1" applyBorder="1" applyAlignment="1">
      <alignment horizontal="center" vertical="center" wrapText="1"/>
    </xf>
    <xf numFmtId="9" fontId="5" fillId="2" borderId="40" xfId="1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/>
    </xf>
    <xf numFmtId="9" fontId="2" fillId="3" borderId="17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justify" vertical="top" wrapText="1"/>
    </xf>
    <xf numFmtId="0" fontId="4" fillId="0" borderId="42" xfId="0" applyFont="1" applyFill="1" applyBorder="1" applyAlignment="1">
      <alignment horizontal="justify" vertical="top" wrapText="1"/>
    </xf>
    <xf numFmtId="0" fontId="2" fillId="3" borderId="19" xfId="0" applyFont="1" applyFill="1" applyBorder="1" applyAlignment="1">
      <alignment vertical="center"/>
    </xf>
    <xf numFmtId="9" fontId="5" fillId="2" borderId="32" xfId="1" applyNumberFormat="1" applyFont="1" applyFill="1" applyBorder="1" applyAlignment="1">
      <alignment horizontal="center" vertical="center" wrapText="1"/>
    </xf>
    <xf numFmtId="9" fontId="5" fillId="2" borderId="34" xfId="1" applyNumberFormat="1" applyFont="1" applyFill="1" applyBorder="1" applyAlignment="1">
      <alignment horizontal="center" vertical="center" wrapText="1"/>
    </xf>
    <xf numFmtId="9" fontId="5" fillId="2" borderId="39" xfId="1" applyNumberFormat="1" applyFont="1" applyFill="1" applyBorder="1" applyAlignment="1">
      <alignment horizontal="center" vertical="center" wrapText="1"/>
    </xf>
    <xf numFmtId="9" fontId="5" fillId="2" borderId="41" xfId="1" applyNumberFormat="1" applyFont="1" applyFill="1" applyBorder="1" applyAlignment="1">
      <alignment horizontal="center" vertical="center" wrapText="1"/>
    </xf>
    <xf numFmtId="9" fontId="5" fillId="2" borderId="35" xfId="1" applyNumberFormat="1" applyFont="1" applyFill="1" applyBorder="1" applyAlignment="1">
      <alignment horizontal="center" vertical="center" wrapText="1"/>
    </xf>
    <xf numFmtId="10" fontId="2" fillId="3" borderId="68" xfId="1" applyNumberFormat="1" applyFont="1" applyFill="1" applyBorder="1" applyAlignment="1">
      <alignment vertical="center"/>
    </xf>
    <xf numFmtId="10" fontId="2" fillId="3" borderId="70" xfId="1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justify" vertical="top" wrapText="1"/>
    </xf>
    <xf numFmtId="0" fontId="4" fillId="0" borderId="67" xfId="0" applyFont="1" applyFill="1" applyBorder="1" applyAlignment="1">
      <alignment horizontal="justify" vertical="top" wrapText="1"/>
    </xf>
    <xf numFmtId="9" fontId="5" fillId="2" borderId="54" xfId="1" applyNumberFormat="1" applyFont="1" applyFill="1" applyBorder="1" applyAlignment="1">
      <alignment horizontal="center" vertical="center" wrapText="1"/>
    </xf>
    <xf numFmtId="9" fontId="5" fillId="2" borderId="55" xfId="1" applyNumberFormat="1" applyFont="1" applyFill="1" applyBorder="1" applyAlignment="1">
      <alignment horizontal="center" vertical="center" wrapText="1"/>
    </xf>
    <xf numFmtId="9" fontId="5" fillId="2" borderId="56" xfId="1" applyNumberFormat="1" applyFont="1" applyFill="1" applyBorder="1" applyAlignment="1">
      <alignment horizontal="center" vertical="center" wrapText="1"/>
    </xf>
    <xf numFmtId="9" fontId="2" fillId="3" borderId="19" xfId="0" applyNumberFormat="1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justify" vertical="top" wrapText="1"/>
    </xf>
    <xf numFmtId="9" fontId="5" fillId="2" borderId="58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3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2" fillId="3" borderId="68" xfId="0" applyFont="1" applyFill="1" applyBorder="1" applyAlignment="1">
      <alignment vertical="center"/>
    </xf>
    <xf numFmtId="9" fontId="2" fillId="3" borderId="70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vertical="center"/>
    </xf>
    <xf numFmtId="10" fontId="2" fillId="3" borderId="68" xfId="1" applyNumberFormat="1" applyFont="1" applyFill="1" applyBorder="1" applyAlignment="1">
      <alignment horizontal="center" vertical="center"/>
    </xf>
    <xf numFmtId="10" fontId="2" fillId="3" borderId="61" xfId="1" applyNumberFormat="1" applyFont="1" applyFill="1" applyBorder="1" applyAlignment="1">
      <alignment horizontal="center" vertical="center"/>
    </xf>
    <xf numFmtId="10" fontId="2" fillId="3" borderId="62" xfId="1" applyNumberFormat="1" applyFont="1" applyFill="1" applyBorder="1" applyAlignment="1">
      <alignment horizontal="center" vertical="center"/>
    </xf>
    <xf numFmtId="10" fontId="2" fillId="3" borderId="60" xfId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4" fillId="0" borderId="52" xfId="0" applyFont="1" applyFill="1" applyBorder="1" applyAlignment="1">
      <alignment horizontal="justify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0" xfId="0" applyFont="1"/>
    <xf numFmtId="10" fontId="5" fillId="0" borderId="4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>
      <alignment horizontal="center" vertical="center" wrapText="1"/>
    </xf>
    <xf numFmtId="10" fontId="5" fillId="0" borderId="40" xfId="0" applyNumberFormat="1" applyFont="1" applyFill="1" applyBorder="1" applyAlignment="1">
      <alignment horizontal="center" vertical="center" wrapText="1"/>
    </xf>
    <xf numFmtId="10" fontId="5" fillId="0" borderId="41" xfId="0" applyNumberFormat="1" applyFont="1" applyFill="1" applyBorder="1" applyAlignment="1">
      <alignment horizontal="center" vertical="center" wrapText="1"/>
    </xf>
    <xf numFmtId="9" fontId="0" fillId="0" borderId="46" xfId="0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31" xfId="0" applyFont="1" applyBorder="1" applyAlignment="1">
      <alignment horizontal="center" vertical="center" wrapText="1" readingOrder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10" fontId="5" fillId="0" borderId="32" xfId="0" applyNumberFormat="1" applyFont="1" applyFill="1" applyBorder="1" applyAlignment="1">
      <alignment horizontal="center" vertical="center" wrapText="1"/>
    </xf>
    <xf numFmtId="10" fontId="5" fillId="0" borderId="33" xfId="0" applyNumberFormat="1" applyFont="1" applyFill="1" applyBorder="1" applyAlignment="1">
      <alignment horizontal="center" vertical="center" wrapText="1"/>
    </xf>
    <xf numFmtId="10" fontId="5" fillId="0" borderId="34" xfId="0" applyNumberFormat="1" applyFont="1" applyFill="1" applyBorder="1" applyAlignment="1">
      <alignment horizontal="center" vertical="center" wrapText="1"/>
    </xf>
    <xf numFmtId="10" fontId="5" fillId="0" borderId="54" xfId="0" applyNumberFormat="1" applyFont="1" applyFill="1" applyBorder="1" applyAlignment="1">
      <alignment horizontal="center" vertical="center" wrapText="1"/>
    </xf>
    <xf numFmtId="10" fontId="5" fillId="0" borderId="55" xfId="0" applyNumberFormat="1" applyFont="1" applyFill="1" applyBorder="1" applyAlignment="1">
      <alignment horizontal="center" vertical="center" wrapText="1"/>
    </xf>
    <xf numFmtId="10" fontId="5" fillId="0" borderId="56" xfId="0" applyNumberFormat="1" applyFont="1" applyFill="1" applyBorder="1" applyAlignment="1">
      <alignment horizontal="center" vertical="center" wrapText="1"/>
    </xf>
    <xf numFmtId="10" fontId="5" fillId="0" borderId="24" xfId="1" applyNumberFormat="1" applyFont="1" applyFill="1" applyBorder="1" applyAlignment="1">
      <alignment horizontal="center" vertical="center" wrapText="1"/>
    </xf>
    <xf numFmtId="10" fontId="5" fillId="0" borderId="25" xfId="1" applyNumberFormat="1" applyFont="1" applyFill="1" applyBorder="1" applyAlignment="1">
      <alignment horizontal="center" vertical="center" wrapText="1"/>
    </xf>
    <xf numFmtId="10" fontId="5" fillId="0" borderId="26" xfId="1" applyNumberFormat="1" applyFont="1" applyFill="1" applyBorder="1" applyAlignment="1">
      <alignment horizontal="center" vertical="center" wrapText="1"/>
    </xf>
    <xf numFmtId="10" fontId="5" fillId="0" borderId="32" xfId="1" applyNumberFormat="1" applyFont="1" applyFill="1" applyBorder="1" applyAlignment="1">
      <alignment horizontal="center" vertical="center" wrapText="1"/>
    </xf>
    <xf numFmtId="10" fontId="5" fillId="0" borderId="33" xfId="1" applyNumberFormat="1" applyFont="1" applyFill="1" applyBorder="1" applyAlignment="1">
      <alignment horizontal="center" vertical="center" wrapText="1"/>
    </xf>
    <xf numFmtId="10" fontId="5" fillId="0" borderId="34" xfId="1" applyNumberFormat="1" applyFont="1" applyFill="1" applyBorder="1" applyAlignment="1">
      <alignment horizontal="center" vertical="center" wrapText="1"/>
    </xf>
    <xf numFmtId="10" fontId="5" fillId="0" borderId="39" xfId="1" applyNumberFormat="1" applyFont="1" applyFill="1" applyBorder="1" applyAlignment="1">
      <alignment horizontal="center" vertical="center" wrapText="1"/>
    </xf>
    <xf numFmtId="10" fontId="5" fillId="0" borderId="40" xfId="1" applyNumberFormat="1" applyFont="1" applyFill="1" applyBorder="1" applyAlignment="1">
      <alignment horizontal="center" vertical="center" wrapText="1"/>
    </xf>
    <xf numFmtId="10" fontId="5" fillId="0" borderId="41" xfId="1" applyNumberFormat="1" applyFont="1" applyFill="1" applyBorder="1" applyAlignment="1">
      <alignment horizontal="center" vertical="center" wrapText="1"/>
    </xf>
    <xf numFmtId="10" fontId="5" fillId="0" borderId="20" xfId="0" applyNumberFormat="1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 vertical="center" wrapText="1"/>
    </xf>
    <xf numFmtId="10" fontId="5" fillId="0" borderId="22" xfId="0" applyNumberFormat="1" applyFont="1" applyFill="1" applyBorder="1" applyAlignment="1">
      <alignment horizontal="center" vertical="center" wrapText="1"/>
    </xf>
    <xf numFmtId="10" fontId="11" fillId="0" borderId="54" xfId="0" applyNumberFormat="1" applyFont="1" applyBorder="1" applyAlignment="1">
      <alignment horizontal="center" vertical="center" wrapText="1"/>
    </xf>
    <xf numFmtId="10" fontId="11" fillId="0" borderId="55" xfId="0" applyNumberFormat="1" applyFont="1" applyBorder="1" applyAlignment="1">
      <alignment horizontal="center" vertical="center" wrapText="1"/>
    </xf>
    <xf numFmtId="10" fontId="11" fillId="0" borderId="56" xfId="0" applyNumberFormat="1" applyFont="1" applyBorder="1" applyAlignment="1">
      <alignment horizontal="center" vertical="center" wrapText="1"/>
    </xf>
    <xf numFmtId="10" fontId="5" fillId="0" borderId="63" xfId="0" applyNumberFormat="1" applyFont="1" applyFill="1" applyBorder="1" applyAlignment="1">
      <alignment horizontal="center" vertical="center" wrapText="1"/>
    </xf>
    <xf numFmtId="10" fontId="5" fillId="0" borderId="64" xfId="0" applyNumberFormat="1" applyFont="1" applyFill="1" applyBorder="1" applyAlignment="1">
      <alignment horizontal="center" vertical="center" wrapText="1"/>
    </xf>
    <xf numFmtId="10" fontId="5" fillId="0" borderId="65" xfId="0" applyNumberFormat="1" applyFont="1" applyFill="1" applyBorder="1" applyAlignment="1">
      <alignment horizontal="center" vertical="center" wrapText="1"/>
    </xf>
    <xf numFmtId="10" fontId="5" fillId="0" borderId="47" xfId="0" applyNumberFormat="1" applyFont="1" applyFill="1" applyBorder="1" applyAlignment="1">
      <alignment horizontal="center" vertical="center" wrapText="1"/>
    </xf>
    <xf numFmtId="10" fontId="5" fillId="0" borderId="68" xfId="0" applyNumberFormat="1" applyFont="1" applyFill="1" applyBorder="1" applyAlignment="1">
      <alignment horizontal="center" vertical="center" wrapText="1"/>
    </xf>
    <xf numFmtId="10" fontId="5" fillId="0" borderId="61" xfId="0" applyNumberFormat="1" applyFont="1" applyFill="1" applyBorder="1" applyAlignment="1">
      <alignment horizontal="center" vertical="center" wrapText="1"/>
    </xf>
    <xf numFmtId="10" fontId="5" fillId="0" borderId="62" xfId="0" applyNumberFormat="1" applyFont="1" applyFill="1" applyBorder="1" applyAlignment="1">
      <alignment horizontal="center" vertical="center" wrapText="1"/>
    </xf>
    <xf numFmtId="10" fontId="5" fillId="0" borderId="7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/>
    <xf numFmtId="10" fontId="4" fillId="0" borderId="72" xfId="1" applyNumberFormat="1" applyFont="1" applyBorder="1" applyAlignment="1">
      <alignment horizontal="center"/>
    </xf>
    <xf numFmtId="0" fontId="14" fillId="3" borderId="31" xfId="0" applyFont="1" applyFill="1" applyBorder="1" applyAlignment="1"/>
    <xf numFmtId="10" fontId="4" fillId="3" borderId="38" xfId="1" applyNumberFormat="1" applyFont="1" applyFill="1" applyBorder="1" applyAlignment="1">
      <alignment horizontal="center"/>
    </xf>
    <xf numFmtId="0" fontId="14" fillId="2" borderId="31" xfId="0" applyFont="1" applyFill="1" applyBorder="1" applyAlignment="1"/>
    <xf numFmtId="10" fontId="4" fillId="0" borderId="38" xfId="1" applyNumberFormat="1" applyFont="1" applyBorder="1" applyAlignment="1">
      <alignment horizontal="center"/>
    </xf>
    <xf numFmtId="0" fontId="14" fillId="3" borderId="31" xfId="0" applyFont="1" applyFill="1" applyBorder="1" applyAlignment="1">
      <alignment vertical="center"/>
    </xf>
    <xf numFmtId="0" fontId="14" fillId="2" borderId="31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10" fontId="4" fillId="0" borderId="45" xfId="1" applyNumberFormat="1" applyFont="1" applyBorder="1" applyAlignment="1">
      <alignment horizontal="center"/>
    </xf>
    <xf numFmtId="0" fontId="6" fillId="6" borderId="53" xfId="0" applyFont="1" applyFill="1" applyBorder="1" applyAlignment="1">
      <alignment horizontal="center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164" fontId="5" fillId="2" borderId="26" xfId="1" applyNumberFormat="1" applyFont="1" applyFill="1" applyBorder="1" applyAlignment="1">
      <alignment horizontal="center" vertical="center" wrapText="1"/>
    </xf>
    <xf numFmtId="164" fontId="5" fillId="2" borderId="47" xfId="1" applyNumberFormat="1" applyFont="1" applyFill="1" applyBorder="1" applyAlignment="1">
      <alignment horizontal="center" vertical="center" wrapText="1"/>
    </xf>
    <xf numFmtId="164" fontId="5" fillId="2" borderId="32" xfId="1" applyNumberFormat="1" applyFont="1" applyFill="1" applyBorder="1" applyAlignment="1">
      <alignment horizontal="center" vertical="center" wrapText="1"/>
    </xf>
    <xf numFmtId="164" fontId="5" fillId="2" borderId="33" xfId="1" applyNumberFormat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35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center" vertical="center" wrapText="1"/>
    </xf>
    <xf numFmtId="164" fontId="5" fillId="2" borderId="40" xfId="1" applyNumberFormat="1" applyFont="1" applyFill="1" applyBorder="1" applyAlignment="1">
      <alignment horizontal="center" vertical="center" wrapText="1"/>
    </xf>
    <xf numFmtId="164" fontId="5" fillId="2" borderId="41" xfId="1" applyNumberFormat="1" applyFont="1" applyFill="1" applyBorder="1" applyAlignment="1">
      <alignment horizontal="center" vertical="center" wrapText="1"/>
    </xf>
    <xf numFmtId="164" fontId="5" fillId="2" borderId="42" xfId="1" applyNumberFormat="1" applyFont="1" applyFill="1" applyBorder="1" applyAlignment="1">
      <alignment horizontal="center" vertical="center" wrapText="1"/>
    </xf>
    <xf numFmtId="164" fontId="5" fillId="2" borderId="20" xfId="1" applyNumberFormat="1" applyFont="1" applyFill="1" applyBorder="1" applyAlignment="1">
      <alignment horizontal="center" vertic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164" fontId="5" fillId="2" borderId="22" xfId="1" applyNumberFormat="1" applyFont="1" applyFill="1" applyBorder="1" applyAlignment="1">
      <alignment horizontal="center" vertical="center" wrapText="1"/>
    </xf>
    <xf numFmtId="164" fontId="5" fillId="2" borderId="23" xfId="1" applyNumberFormat="1" applyFont="1" applyFill="1" applyBorder="1" applyAlignment="1">
      <alignment horizontal="center" vertical="center" wrapText="1"/>
    </xf>
    <xf numFmtId="164" fontId="5" fillId="2" borderId="68" xfId="1" applyNumberFormat="1" applyFont="1" applyFill="1" applyBorder="1" applyAlignment="1">
      <alignment horizontal="center" vertical="center" wrapText="1"/>
    </xf>
    <xf numFmtId="164" fontId="5" fillId="2" borderId="61" xfId="1" applyNumberFormat="1" applyFont="1" applyFill="1" applyBorder="1" applyAlignment="1">
      <alignment horizontal="center" vertical="center" wrapText="1"/>
    </xf>
    <xf numFmtId="164" fontId="5" fillId="2" borderId="62" xfId="1" applyNumberFormat="1" applyFont="1" applyFill="1" applyBorder="1" applyAlignment="1">
      <alignment horizontal="center" vertical="center" wrapText="1"/>
    </xf>
    <xf numFmtId="164" fontId="5" fillId="2" borderId="70" xfId="1" applyNumberFormat="1" applyFont="1" applyFill="1" applyBorder="1" applyAlignment="1">
      <alignment horizontal="center" vertical="center" wrapText="1"/>
    </xf>
    <xf numFmtId="10" fontId="5" fillId="0" borderId="27" xfId="0" applyNumberFormat="1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10" fontId="5" fillId="0" borderId="43" xfId="0" applyNumberFormat="1" applyFont="1" applyFill="1" applyBorder="1" applyAlignment="1">
      <alignment horizontal="center" vertical="center" wrapText="1"/>
    </xf>
    <xf numFmtId="10" fontId="5" fillId="0" borderId="43" xfId="0" applyNumberFormat="1" applyFont="1" applyBorder="1" applyAlignment="1">
      <alignment horizontal="center" vertical="center"/>
    </xf>
    <xf numFmtId="10" fontId="5" fillId="0" borderId="40" xfId="0" applyNumberFormat="1" applyFont="1" applyBorder="1" applyAlignment="1">
      <alignment horizontal="center" vertical="center"/>
    </xf>
    <xf numFmtId="10" fontId="5" fillId="0" borderId="41" xfId="0" applyNumberFormat="1" applyFont="1" applyBorder="1" applyAlignment="1">
      <alignment horizontal="center" vertical="center"/>
    </xf>
    <xf numFmtId="10" fontId="5" fillId="0" borderId="8" xfId="1" applyNumberFormat="1" applyFont="1" applyBorder="1" applyAlignment="1">
      <alignment horizontal="center" vertical="center"/>
    </xf>
    <xf numFmtId="10" fontId="5" fillId="0" borderId="4" xfId="1" applyNumberFormat="1" applyFont="1" applyBorder="1" applyAlignment="1">
      <alignment horizontal="center" vertical="center"/>
    </xf>
    <xf numFmtId="10" fontId="5" fillId="0" borderId="5" xfId="1" applyNumberFormat="1" applyFont="1" applyBorder="1" applyAlignment="1">
      <alignment horizontal="center" vertical="center"/>
    </xf>
    <xf numFmtId="10" fontId="5" fillId="0" borderId="24" xfId="0" applyNumberFormat="1" applyFont="1" applyFill="1" applyBorder="1" applyAlignment="1">
      <alignment horizontal="center" vertical="center"/>
    </xf>
    <xf numFmtId="10" fontId="5" fillId="0" borderId="25" xfId="0" applyNumberFormat="1" applyFont="1" applyFill="1" applyBorder="1" applyAlignment="1">
      <alignment horizontal="center" vertical="center"/>
    </xf>
    <xf numFmtId="10" fontId="5" fillId="0" borderId="26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0" fontId="5" fillId="0" borderId="34" xfId="0" applyNumberFormat="1" applyFont="1" applyFill="1" applyBorder="1" applyAlignment="1">
      <alignment horizontal="center" vertical="center"/>
    </xf>
    <xf numFmtId="10" fontId="5" fillId="0" borderId="39" xfId="0" applyNumberFormat="1" applyFont="1" applyFill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10" fontId="5" fillId="0" borderId="41" xfId="0" applyNumberFormat="1" applyFont="1" applyFill="1" applyBorder="1" applyAlignment="1">
      <alignment horizontal="center" vertical="center"/>
    </xf>
    <xf numFmtId="0" fontId="0" fillId="0" borderId="0" xfId="0" applyFont="1"/>
    <xf numFmtId="0" fontId="15" fillId="5" borderId="53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9" fontId="0" fillId="0" borderId="0" xfId="1" applyFont="1"/>
    <xf numFmtId="9" fontId="5" fillId="8" borderId="32" xfId="1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5" fillId="8" borderId="39" xfId="1" applyNumberFormat="1" applyFont="1" applyFill="1" applyBorder="1" applyAlignment="1">
      <alignment horizontal="center" vertical="center" wrapText="1"/>
    </xf>
    <xf numFmtId="9" fontId="5" fillId="8" borderId="24" xfId="1" applyNumberFormat="1" applyFont="1" applyFill="1" applyBorder="1" applyAlignment="1">
      <alignment horizontal="center" vertical="center" wrapText="1"/>
    </xf>
    <xf numFmtId="9" fontId="5" fillId="8" borderId="20" xfId="1" applyNumberFormat="1" applyFont="1" applyFill="1" applyBorder="1" applyAlignment="1">
      <alignment horizontal="center" vertical="center" wrapText="1"/>
    </xf>
    <xf numFmtId="9" fontId="5" fillId="7" borderId="32" xfId="1" applyNumberFormat="1" applyFont="1" applyFill="1" applyBorder="1" applyAlignment="1">
      <alignment horizontal="center" vertical="center" wrapText="1"/>
    </xf>
    <xf numFmtId="164" fontId="5" fillId="8" borderId="24" xfId="1" applyNumberFormat="1" applyFont="1" applyFill="1" applyBorder="1" applyAlignment="1">
      <alignment horizontal="center" vertical="center" wrapText="1"/>
    </xf>
    <xf numFmtId="164" fontId="5" fillId="8" borderId="32" xfId="1" applyNumberFormat="1" applyFont="1" applyFill="1" applyBorder="1" applyAlignment="1">
      <alignment horizontal="center" vertical="center" wrapText="1"/>
    </xf>
    <xf numFmtId="164" fontId="5" fillId="7" borderId="32" xfId="1" applyNumberFormat="1" applyFont="1" applyFill="1" applyBorder="1" applyAlignment="1">
      <alignment horizontal="center" vertical="center" wrapText="1"/>
    </xf>
    <xf numFmtId="10" fontId="5" fillId="8" borderId="32" xfId="1" applyNumberFormat="1" applyFont="1" applyFill="1" applyBorder="1" applyAlignment="1">
      <alignment horizontal="center" vertical="center" wrapText="1"/>
    </xf>
    <xf numFmtId="164" fontId="5" fillId="7" borderId="39" xfId="1" applyNumberFormat="1" applyFont="1" applyFill="1" applyBorder="1" applyAlignment="1">
      <alignment horizontal="center" vertical="center" wrapText="1"/>
    </xf>
    <xf numFmtId="164" fontId="5" fillId="8" borderId="60" xfId="1" applyNumberFormat="1" applyFont="1" applyFill="1" applyBorder="1" applyAlignment="1">
      <alignment horizontal="center" vertical="center" wrapText="1"/>
    </xf>
    <xf numFmtId="164" fontId="5" fillId="7" borderId="68" xfId="1" applyNumberFormat="1" applyFont="1" applyFill="1" applyBorder="1" applyAlignment="1">
      <alignment horizontal="center" vertical="center" wrapText="1"/>
    </xf>
    <xf numFmtId="164" fontId="5" fillId="8" borderId="27" xfId="1" applyNumberFormat="1" applyFont="1" applyFill="1" applyBorder="1" applyAlignment="1">
      <alignment horizontal="center" vertical="center" wrapText="1"/>
    </xf>
    <xf numFmtId="164" fontId="5" fillId="8" borderId="48" xfId="1" applyNumberFormat="1" applyFont="1" applyFill="1" applyBorder="1" applyAlignment="1">
      <alignment horizontal="center" vertical="center" wrapText="1"/>
    </xf>
    <xf numFmtId="164" fontId="5" fillId="8" borderId="20" xfId="1" applyNumberFormat="1" applyFont="1" applyFill="1" applyBorder="1" applyAlignment="1">
      <alignment horizontal="center" vertical="center" wrapText="1"/>
    </xf>
    <xf numFmtId="164" fontId="5" fillId="8" borderId="39" xfId="1" applyNumberFormat="1" applyFont="1" applyFill="1" applyBorder="1" applyAlignment="1">
      <alignment horizontal="center" vertical="center" wrapText="1"/>
    </xf>
    <xf numFmtId="10" fontId="5" fillId="7" borderId="32" xfId="0" applyNumberFormat="1" applyFont="1" applyFill="1" applyBorder="1" applyAlignment="1">
      <alignment horizontal="center" vertical="center" wrapText="1"/>
    </xf>
    <xf numFmtId="10" fontId="5" fillId="7" borderId="24" xfId="0" applyNumberFormat="1" applyFont="1" applyFill="1" applyBorder="1" applyAlignment="1">
      <alignment horizontal="center" vertical="center" wrapText="1"/>
    </xf>
    <xf numFmtId="10" fontId="5" fillId="8" borderId="24" xfId="0" applyNumberFormat="1" applyFont="1" applyFill="1" applyBorder="1" applyAlignment="1">
      <alignment horizontal="center" vertical="center" wrapText="1"/>
    </xf>
    <xf numFmtId="10" fontId="5" fillId="8" borderId="32" xfId="0" applyNumberFormat="1" applyFont="1" applyFill="1" applyBorder="1" applyAlignment="1">
      <alignment horizontal="center" vertical="center" wrapText="1"/>
    </xf>
    <xf numFmtId="10" fontId="5" fillId="8" borderId="54" xfId="0" applyNumberFormat="1" applyFont="1" applyFill="1" applyBorder="1" applyAlignment="1">
      <alignment horizontal="center" vertical="center" wrapText="1"/>
    </xf>
    <xf numFmtId="10" fontId="5" fillId="8" borderId="24" xfId="1" applyNumberFormat="1" applyFont="1" applyFill="1" applyBorder="1" applyAlignment="1">
      <alignment horizontal="center" vertical="center" wrapText="1"/>
    </xf>
    <xf numFmtId="10" fontId="5" fillId="8" borderId="39" xfId="1" applyNumberFormat="1" applyFont="1" applyFill="1" applyBorder="1" applyAlignment="1">
      <alignment horizontal="center" vertical="center" wrapText="1"/>
    </xf>
    <xf numFmtId="10" fontId="5" fillId="8" borderId="20" xfId="0" applyNumberFormat="1" applyFont="1" applyFill="1" applyBorder="1" applyAlignment="1">
      <alignment horizontal="center" vertical="center" wrapText="1"/>
    </xf>
    <xf numFmtId="10" fontId="11" fillId="8" borderId="54" xfId="0" applyNumberFormat="1" applyFont="1" applyFill="1" applyBorder="1" applyAlignment="1">
      <alignment horizontal="center" vertical="center" wrapText="1"/>
    </xf>
    <xf numFmtId="10" fontId="5" fillId="8" borderId="63" xfId="0" applyNumberFormat="1" applyFont="1" applyFill="1" applyBorder="1" applyAlignment="1">
      <alignment horizontal="center" vertical="center" wrapText="1"/>
    </xf>
    <xf numFmtId="10" fontId="5" fillId="8" borderId="68" xfId="0" applyNumberFormat="1" applyFont="1" applyFill="1" applyBorder="1" applyAlignment="1">
      <alignment horizontal="center" vertical="center" wrapText="1"/>
    </xf>
    <xf numFmtId="10" fontId="5" fillId="8" borderId="3" xfId="0" applyNumberFormat="1" applyFont="1" applyFill="1" applyBorder="1" applyAlignment="1">
      <alignment horizontal="center" vertical="center" wrapText="1"/>
    </xf>
    <xf numFmtId="10" fontId="5" fillId="7" borderId="36" xfId="0" applyNumberFormat="1" applyFont="1" applyFill="1" applyBorder="1" applyAlignment="1">
      <alignment horizontal="center" vertical="center" wrapText="1"/>
    </xf>
    <xf numFmtId="10" fontId="5" fillId="8" borderId="36" xfId="0" applyNumberFormat="1" applyFont="1" applyFill="1" applyBorder="1" applyAlignment="1">
      <alignment horizontal="center" vertical="center" wrapText="1"/>
    </xf>
    <xf numFmtId="10" fontId="5" fillId="8" borderId="43" xfId="0" applyNumberFormat="1" applyFont="1" applyFill="1" applyBorder="1" applyAlignment="1">
      <alignment horizontal="center" vertical="center" wrapText="1"/>
    </xf>
    <xf numFmtId="9" fontId="5" fillId="2" borderId="23" xfId="1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justify" vertical="top" wrapText="1"/>
    </xf>
    <xf numFmtId="10" fontId="6" fillId="4" borderId="73" xfId="1" applyNumberFormat="1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 readingOrder="1"/>
    </xf>
    <xf numFmtId="10" fontId="5" fillId="0" borderId="4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justify" vertical="top" wrapText="1"/>
    </xf>
    <xf numFmtId="9" fontId="5" fillId="10" borderId="20" xfId="1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10" fontId="17" fillId="4" borderId="73" xfId="1" applyNumberFormat="1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 wrapText="1"/>
    </xf>
    <xf numFmtId="10" fontId="5" fillId="8" borderId="27" xfId="0" applyNumberFormat="1" applyFont="1" applyFill="1" applyBorder="1" applyAlignment="1">
      <alignment horizontal="center" vertical="center" wrapText="1"/>
    </xf>
    <xf numFmtId="10" fontId="17" fillId="4" borderId="78" xfId="1" applyNumberFormat="1" applyFont="1" applyFill="1" applyBorder="1" applyAlignment="1">
      <alignment horizontal="center" vertical="center"/>
    </xf>
    <xf numFmtId="0" fontId="2" fillId="0" borderId="0" xfId="0" applyFont="1"/>
    <xf numFmtId="0" fontId="19" fillId="0" borderId="0" xfId="0" applyFont="1"/>
    <xf numFmtId="0" fontId="8" fillId="0" borderId="33" xfId="0" applyFont="1" applyFill="1" applyBorder="1" applyAlignment="1">
      <alignment horizontal="justify" vertical="top" wrapText="1"/>
    </xf>
    <xf numFmtId="9" fontId="0" fillId="0" borderId="0" xfId="1" applyFont="1" applyBorder="1" applyAlignment="1">
      <alignment horizontal="center" vertical="center"/>
    </xf>
    <xf numFmtId="0" fontId="0" fillId="0" borderId="0" xfId="0" applyBorder="1"/>
    <xf numFmtId="9" fontId="0" fillId="0" borderId="0" xfId="1" applyFont="1" applyBorder="1" applyAlignment="1">
      <alignment horizontal="center"/>
    </xf>
    <xf numFmtId="9" fontId="5" fillId="0" borderId="33" xfId="1" applyNumberFormat="1" applyFont="1" applyFill="1" applyBorder="1" applyAlignment="1">
      <alignment horizontal="center" vertical="center" wrapText="1"/>
    </xf>
    <xf numFmtId="0" fontId="2" fillId="8" borderId="0" xfId="0" applyFont="1" applyFill="1"/>
    <xf numFmtId="0" fontId="2" fillId="9" borderId="0" xfId="0" applyFont="1" applyFill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/>
    <xf numFmtId="0" fontId="0" fillId="0" borderId="33" xfId="0" applyFont="1" applyBorder="1" applyAlignment="1">
      <alignment horizontal="justify" vertical="center" wrapText="1"/>
    </xf>
    <xf numFmtId="9" fontId="0" fillId="0" borderId="0" xfId="1" applyFont="1" applyFill="1"/>
    <xf numFmtId="9" fontId="0" fillId="0" borderId="0" xfId="0" applyNumberFormat="1" applyFill="1"/>
    <xf numFmtId="10" fontId="0" fillId="0" borderId="0" xfId="1" applyNumberFormat="1" applyFont="1" applyFill="1"/>
    <xf numFmtId="0" fontId="22" fillId="0" borderId="33" xfId="0" applyFont="1" applyFill="1" applyBorder="1" applyAlignment="1">
      <alignment horizontal="left" vertical="center" wrapText="1" readingOrder="1"/>
    </xf>
    <xf numFmtId="0" fontId="22" fillId="2" borderId="40" xfId="0" applyFont="1" applyFill="1" applyBorder="1" applyAlignment="1">
      <alignment horizontal="left" vertical="center" wrapText="1" readingOrder="1"/>
    </xf>
    <xf numFmtId="0" fontId="22" fillId="0" borderId="25" xfId="0" applyFont="1" applyBorder="1" applyAlignment="1">
      <alignment horizontal="left" vertical="center" wrapText="1" readingOrder="1"/>
    </xf>
    <xf numFmtId="0" fontId="5" fillId="0" borderId="40" xfId="0" applyFont="1" applyBorder="1" applyAlignment="1">
      <alignment horizontal="left" vertical="center" wrapText="1"/>
    </xf>
    <xf numFmtId="9" fontId="0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 readingOrder="1"/>
    </xf>
    <xf numFmtId="10" fontId="5" fillId="0" borderId="17" xfId="0" applyNumberFormat="1" applyFont="1" applyFill="1" applyBorder="1" applyAlignment="1">
      <alignment horizontal="center" vertical="center" wrapText="1"/>
    </xf>
    <xf numFmtId="10" fontId="0" fillId="0" borderId="17" xfId="1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justify" vertical="top" wrapText="1"/>
    </xf>
    <xf numFmtId="0" fontId="4" fillId="0" borderId="40" xfId="0" applyFont="1" applyFill="1" applyBorder="1" applyAlignment="1">
      <alignment horizontal="justify" vertical="top" wrapText="1"/>
    </xf>
    <xf numFmtId="0" fontId="8" fillId="0" borderId="25" xfId="0" applyFont="1" applyFill="1" applyBorder="1" applyAlignment="1">
      <alignment horizontal="justify" vertical="top" wrapText="1"/>
    </xf>
    <xf numFmtId="0" fontId="8" fillId="0" borderId="40" xfId="0" applyFont="1" applyFill="1" applyBorder="1" applyAlignment="1">
      <alignment horizontal="justify" vertical="top" wrapText="1"/>
    </xf>
    <xf numFmtId="0" fontId="0" fillId="0" borderId="0" xfId="0" applyFont="1" applyFill="1"/>
    <xf numFmtId="0" fontId="0" fillId="0" borderId="35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vertical="top" wrapText="1"/>
    </xf>
    <xf numFmtId="9" fontId="0" fillId="0" borderId="32" xfId="1" applyFont="1" applyFill="1" applyBorder="1" applyAlignment="1">
      <alignment horizontal="center" vertical="center" wrapText="1"/>
    </xf>
    <xf numFmtId="9" fontId="0" fillId="0" borderId="33" xfId="1" applyFont="1" applyFill="1" applyBorder="1" applyAlignment="1">
      <alignment horizontal="center" vertical="center" wrapText="1"/>
    </xf>
    <xf numFmtId="9" fontId="0" fillId="0" borderId="20" xfId="1" applyFont="1" applyFill="1" applyBorder="1" applyAlignment="1">
      <alignment horizontal="center" vertical="center" wrapText="1"/>
    </xf>
    <xf numFmtId="9" fontId="0" fillId="0" borderId="21" xfId="1" applyFont="1" applyFill="1" applyBorder="1" applyAlignment="1">
      <alignment horizontal="center" vertical="center" wrapText="1"/>
    </xf>
    <xf numFmtId="9" fontId="0" fillId="0" borderId="39" xfId="1" applyFont="1" applyFill="1" applyBorder="1" applyAlignment="1">
      <alignment horizontal="center" vertical="center" wrapText="1"/>
    </xf>
    <xf numFmtId="9" fontId="0" fillId="0" borderId="40" xfId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vertical="top" wrapText="1"/>
    </xf>
    <xf numFmtId="9" fontId="0" fillId="0" borderId="24" xfId="1" applyFont="1" applyFill="1" applyBorder="1" applyAlignment="1">
      <alignment horizontal="center" vertical="center" wrapText="1"/>
    </xf>
    <xf numFmtId="9" fontId="0" fillId="0" borderId="25" xfId="1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top" wrapText="1"/>
    </xf>
    <xf numFmtId="9" fontId="0" fillId="0" borderId="68" xfId="1" applyFont="1" applyFill="1" applyBorder="1" applyAlignment="1">
      <alignment horizontal="center" vertical="center" wrapText="1"/>
    </xf>
    <xf numFmtId="9" fontId="0" fillId="0" borderId="16" xfId="1" applyFont="1" applyFill="1" applyBorder="1" applyAlignment="1">
      <alignment horizontal="center" vertical="center" wrapText="1"/>
    </xf>
    <xf numFmtId="9" fontId="0" fillId="0" borderId="17" xfId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justify" vertical="top" wrapText="1"/>
    </xf>
    <xf numFmtId="0" fontId="4" fillId="0" borderId="6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9" fontId="8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10" fillId="0" borderId="33" xfId="0" applyNumberFormat="1" applyFon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164" fontId="28" fillId="0" borderId="33" xfId="1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>
      <alignment vertical="center"/>
    </xf>
    <xf numFmtId="9" fontId="24" fillId="0" borderId="0" xfId="1" applyFont="1"/>
    <xf numFmtId="0" fontId="29" fillId="9" borderId="0" xfId="0" applyFont="1" applyFill="1"/>
    <xf numFmtId="164" fontId="28" fillId="0" borderId="21" xfId="1" applyNumberFormat="1" applyFont="1" applyFill="1" applyBorder="1" applyAlignment="1">
      <alignment horizontal="center" vertical="center" wrapText="1"/>
    </xf>
    <xf numFmtId="164" fontId="28" fillId="0" borderId="25" xfId="1" applyNumberFormat="1" applyFont="1" applyFill="1" applyBorder="1" applyAlignment="1">
      <alignment horizontal="center" vertical="center" wrapText="1"/>
    </xf>
    <xf numFmtId="164" fontId="28" fillId="0" borderId="40" xfId="1" applyNumberFormat="1" applyFont="1" applyFill="1" applyBorder="1" applyAlignment="1">
      <alignment horizontal="center" vertical="center" wrapText="1"/>
    </xf>
    <xf numFmtId="164" fontId="28" fillId="0" borderId="25" xfId="0" applyNumberFormat="1" applyFont="1" applyFill="1" applyBorder="1" applyAlignment="1">
      <alignment horizontal="center" vertical="center" wrapText="1"/>
    </xf>
    <xf numFmtId="164" fontId="28" fillId="0" borderId="33" xfId="0" applyNumberFormat="1" applyFont="1" applyFill="1" applyBorder="1" applyAlignment="1">
      <alignment horizontal="center" vertical="center" wrapText="1"/>
    </xf>
    <xf numFmtId="164" fontId="28" fillId="0" borderId="4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7" fillId="0" borderId="35" xfId="0" applyFont="1" applyFill="1" applyBorder="1" applyAlignment="1">
      <alignment horizontal="justify" vertical="top" wrapText="1"/>
    </xf>
    <xf numFmtId="0" fontId="27" fillId="0" borderId="42" xfId="0" applyFont="1" applyFill="1" applyBorder="1" applyAlignment="1">
      <alignment horizontal="justify" vertical="top" wrapText="1"/>
    </xf>
    <xf numFmtId="0" fontId="9" fillId="0" borderId="35" xfId="0" applyFont="1" applyFill="1" applyBorder="1" applyAlignment="1">
      <alignment horizontal="center" vertical="center" wrapText="1"/>
    </xf>
    <xf numFmtId="9" fontId="9" fillId="0" borderId="35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0" borderId="42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27" fillId="0" borderId="23" xfId="0" applyFont="1" applyFill="1" applyBorder="1" applyAlignment="1">
      <alignment horizontal="justify" vertical="top" wrapText="1"/>
    </xf>
    <xf numFmtId="164" fontId="28" fillId="0" borderId="24" xfId="1" applyNumberFormat="1" applyFont="1" applyFill="1" applyBorder="1" applyAlignment="1">
      <alignment horizontal="center" vertical="center" wrapText="1"/>
    </xf>
    <xf numFmtId="164" fontId="28" fillId="0" borderId="26" xfId="1" applyNumberFormat="1" applyFont="1" applyFill="1" applyBorder="1" applyAlignment="1">
      <alignment horizontal="center" vertical="center" wrapText="1"/>
    </xf>
    <xf numFmtId="164" fontId="28" fillId="0" borderId="32" xfId="1" applyNumberFormat="1" applyFont="1" applyFill="1" applyBorder="1" applyAlignment="1">
      <alignment horizontal="center" vertical="center" wrapText="1"/>
    </xf>
    <xf numFmtId="164" fontId="28" fillId="0" borderId="34" xfId="1" applyNumberFormat="1" applyFont="1" applyFill="1" applyBorder="1" applyAlignment="1">
      <alignment horizontal="center" vertical="center" wrapText="1"/>
    </xf>
    <xf numFmtId="164" fontId="28" fillId="0" borderId="39" xfId="1" applyNumberFormat="1" applyFont="1" applyFill="1" applyBorder="1" applyAlignment="1">
      <alignment horizontal="center" vertical="center" wrapText="1"/>
    </xf>
    <xf numFmtId="164" fontId="28" fillId="0" borderId="41" xfId="1" applyNumberFormat="1" applyFont="1" applyFill="1" applyBorder="1" applyAlignment="1">
      <alignment horizontal="center" vertical="center" wrapText="1"/>
    </xf>
    <xf numFmtId="164" fontId="28" fillId="0" borderId="24" xfId="0" applyNumberFormat="1" applyFont="1" applyFill="1" applyBorder="1" applyAlignment="1">
      <alignment horizontal="center" vertical="center" wrapText="1"/>
    </xf>
    <xf numFmtId="164" fontId="28" fillId="0" borderId="32" xfId="0" applyNumberFormat="1" applyFont="1" applyFill="1" applyBorder="1" applyAlignment="1">
      <alignment horizontal="center" vertical="center" wrapText="1"/>
    </xf>
    <xf numFmtId="164" fontId="28" fillId="0" borderId="39" xfId="0" applyNumberFormat="1" applyFont="1" applyFill="1" applyBorder="1" applyAlignment="1">
      <alignment horizontal="center" vertical="center" wrapText="1"/>
    </xf>
    <xf numFmtId="164" fontId="28" fillId="0" borderId="22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 wrapText="1"/>
    </xf>
    <xf numFmtId="164" fontId="28" fillId="0" borderId="56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8" fillId="2" borderId="35" xfId="0" applyFont="1" applyFill="1" applyBorder="1" applyAlignment="1">
      <alignment horizontal="justify" vertical="center" wrapText="1"/>
    </xf>
    <xf numFmtId="0" fontId="8" fillId="2" borderId="42" xfId="0" applyFont="1" applyFill="1" applyBorder="1" applyAlignment="1">
      <alignment horizontal="justify" vertical="center" wrapText="1"/>
    </xf>
    <xf numFmtId="0" fontId="8" fillId="0" borderId="47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164" fontId="5" fillId="0" borderId="26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 wrapText="1"/>
    </xf>
    <xf numFmtId="9" fontId="8" fillId="0" borderId="25" xfId="0" applyNumberFormat="1" applyFont="1" applyFill="1" applyBorder="1" applyAlignment="1">
      <alignment horizontal="center" vertical="center" wrapText="1"/>
    </xf>
    <xf numFmtId="9" fontId="8" fillId="0" borderId="40" xfId="0" applyNumberFormat="1" applyFont="1" applyFill="1" applyBorder="1" applyAlignment="1">
      <alignment horizontal="center" vertical="center" wrapText="1"/>
    </xf>
    <xf numFmtId="9" fontId="10" fillId="0" borderId="40" xfId="0" applyNumberFormat="1" applyFont="1" applyFill="1" applyBorder="1" applyAlignment="1">
      <alignment horizontal="center" vertical="center" wrapText="1"/>
    </xf>
    <xf numFmtId="9" fontId="10" fillId="0" borderId="2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top" wrapText="1"/>
    </xf>
    <xf numFmtId="0" fontId="5" fillId="0" borderId="70" xfId="0" applyFont="1" applyFill="1" applyBorder="1" applyAlignment="1">
      <alignment vertical="top" wrapText="1"/>
    </xf>
    <xf numFmtId="9" fontId="2" fillId="0" borderId="0" xfId="1" applyFont="1"/>
    <xf numFmtId="9" fontId="2" fillId="9" borderId="0" xfId="1" applyFont="1" applyFill="1"/>
    <xf numFmtId="9" fontId="2" fillId="8" borderId="0" xfId="1" applyFont="1" applyFill="1"/>
    <xf numFmtId="9" fontId="2" fillId="6" borderId="0" xfId="1" applyFont="1" applyFill="1"/>
    <xf numFmtId="0" fontId="2" fillId="6" borderId="0" xfId="0" applyFont="1" applyFill="1"/>
    <xf numFmtId="0" fontId="2" fillId="13" borderId="0" xfId="0" applyFont="1" applyFill="1"/>
    <xf numFmtId="0" fontId="0" fillId="13" borderId="0" xfId="0" applyFill="1"/>
    <xf numFmtId="9" fontId="2" fillId="13" borderId="0" xfId="1" applyFont="1" applyFill="1"/>
    <xf numFmtId="0" fontId="2" fillId="10" borderId="0" xfId="0" applyFont="1" applyFill="1"/>
    <xf numFmtId="9" fontId="0" fillId="9" borderId="0" xfId="1" applyFont="1" applyFill="1"/>
    <xf numFmtId="9" fontId="2" fillId="0" borderId="0" xfId="1" applyFont="1" applyFill="1"/>
    <xf numFmtId="9" fontId="2" fillId="10" borderId="0" xfId="1" applyFont="1" applyFill="1"/>
    <xf numFmtId="0" fontId="34" fillId="0" borderId="0" xfId="0" applyFont="1"/>
    <xf numFmtId="9" fontId="0" fillId="6" borderId="0" xfId="1" applyFont="1" applyFill="1"/>
    <xf numFmtId="9" fontId="0" fillId="10" borderId="0" xfId="1" applyFont="1" applyFill="1"/>
    <xf numFmtId="0" fontId="0" fillId="6" borderId="0" xfId="0" applyFill="1"/>
    <xf numFmtId="0" fontId="2" fillId="0" borderId="0" xfId="0" applyFont="1" applyFill="1"/>
    <xf numFmtId="9" fontId="0" fillId="0" borderId="61" xfId="1" applyFont="1" applyFill="1" applyBorder="1" applyAlignment="1">
      <alignment horizontal="center" vertical="center" wrapText="1"/>
    </xf>
    <xf numFmtId="0" fontId="0" fillId="0" borderId="64" xfId="0" applyBorder="1"/>
    <xf numFmtId="10" fontId="5" fillId="0" borderId="85" xfId="0" applyNumberFormat="1" applyFont="1" applyFill="1" applyBorder="1" applyAlignment="1">
      <alignment horizontal="center" vertical="center" wrapText="1"/>
    </xf>
    <xf numFmtId="0" fontId="0" fillId="0" borderId="69" xfId="0" applyBorder="1"/>
    <xf numFmtId="0" fontId="4" fillId="0" borderId="117" xfId="0" applyFont="1" applyFill="1" applyBorder="1" applyAlignment="1">
      <alignment horizontal="justify" vertical="top" wrapText="1"/>
    </xf>
    <xf numFmtId="9" fontId="39" fillId="0" borderId="32" xfId="1" applyNumberFormat="1" applyFont="1" applyFill="1" applyBorder="1" applyAlignment="1">
      <alignment horizontal="center" vertical="center" wrapText="1"/>
    </xf>
    <xf numFmtId="9" fontId="39" fillId="0" borderId="33" xfId="1" applyNumberFormat="1" applyFont="1" applyFill="1" applyBorder="1" applyAlignment="1">
      <alignment horizontal="center" vertical="center" wrapText="1"/>
    </xf>
    <xf numFmtId="9" fontId="39" fillId="0" borderId="35" xfId="1" applyNumberFormat="1" applyFont="1" applyFill="1" applyBorder="1" applyAlignment="1">
      <alignment horizontal="center" vertical="center" wrapText="1"/>
    </xf>
    <xf numFmtId="9" fontId="39" fillId="6" borderId="32" xfId="1" applyNumberFormat="1" applyFont="1" applyFill="1" applyBorder="1" applyAlignment="1">
      <alignment horizontal="center" vertical="center" wrapText="1"/>
    </xf>
    <xf numFmtId="164" fontId="39" fillId="6" borderId="32" xfId="1" applyNumberFormat="1" applyFont="1" applyFill="1" applyBorder="1" applyAlignment="1">
      <alignment horizontal="center" vertical="center" wrapText="1"/>
    </xf>
    <xf numFmtId="9" fontId="39" fillId="0" borderId="127" xfId="1" applyNumberFormat="1" applyFont="1" applyFill="1" applyBorder="1" applyAlignment="1">
      <alignment horizontal="center" vertical="center" wrapText="1"/>
    </xf>
    <xf numFmtId="9" fontId="39" fillId="0" borderId="91" xfId="1" applyNumberFormat="1" applyFont="1" applyFill="1" applyBorder="1" applyAlignment="1">
      <alignment horizontal="center" vertical="center" wrapText="1"/>
    </xf>
    <xf numFmtId="9" fontId="39" fillId="0" borderId="117" xfId="1" applyNumberFormat="1" applyFont="1" applyFill="1" applyBorder="1" applyAlignment="1">
      <alignment horizontal="center" vertical="center" wrapText="1"/>
    </xf>
    <xf numFmtId="9" fontId="39" fillId="6" borderId="127" xfId="1" applyNumberFormat="1" applyFont="1" applyFill="1" applyBorder="1" applyAlignment="1">
      <alignment horizontal="center" vertical="center" wrapText="1"/>
    </xf>
    <xf numFmtId="3" fontId="0" fillId="0" borderId="115" xfId="0" applyNumberFormat="1" applyFont="1" applyFill="1" applyBorder="1" applyAlignment="1">
      <alignment vertical="center" wrapText="1"/>
    </xf>
    <xf numFmtId="0" fontId="0" fillId="0" borderId="94" xfId="0" applyFont="1" applyFill="1" applyBorder="1" applyAlignment="1">
      <alignment horizontal="justify" vertical="top" wrapText="1"/>
    </xf>
    <xf numFmtId="9" fontId="0" fillId="0" borderId="122" xfId="1" applyFont="1" applyFill="1" applyBorder="1" applyAlignment="1">
      <alignment horizontal="center" vertical="center" wrapText="1"/>
    </xf>
    <xf numFmtId="9" fontId="0" fillId="0" borderId="120" xfId="1" applyFont="1" applyFill="1" applyBorder="1" applyAlignment="1">
      <alignment horizontal="center" vertical="center" wrapText="1"/>
    </xf>
    <xf numFmtId="9" fontId="39" fillId="2" borderId="33" xfId="1" applyNumberFormat="1" applyFont="1" applyFill="1" applyBorder="1" applyAlignment="1">
      <alignment horizontal="center" vertical="center" wrapText="1"/>
    </xf>
    <xf numFmtId="164" fontId="39" fillId="6" borderId="33" xfId="1" applyNumberFormat="1" applyFont="1" applyFill="1" applyBorder="1" applyAlignment="1">
      <alignment horizontal="center" vertical="center" wrapText="1"/>
    </xf>
    <xf numFmtId="164" fontId="39" fillId="13" borderId="33" xfId="1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justify" vertical="top" wrapText="1"/>
    </xf>
    <xf numFmtId="10" fontId="39" fillId="2" borderId="33" xfId="1" applyNumberFormat="1" applyFont="1" applyFill="1" applyBorder="1" applyAlignment="1">
      <alignment horizontal="center" vertical="center" wrapText="1"/>
    </xf>
    <xf numFmtId="10" fontId="2" fillId="6" borderId="33" xfId="1" applyNumberFormat="1" applyFont="1" applyFill="1" applyBorder="1" applyAlignment="1">
      <alignment horizontal="center" vertical="center" wrapText="1"/>
    </xf>
    <xf numFmtId="164" fontId="5" fillId="0" borderId="128" xfId="1" applyNumberFormat="1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justify" vertical="top" wrapText="1"/>
    </xf>
    <xf numFmtId="164" fontId="39" fillId="2" borderId="32" xfId="1" applyNumberFormat="1" applyFont="1" applyFill="1" applyBorder="1" applyAlignment="1">
      <alignment horizontal="center" vertical="center" wrapText="1"/>
    </xf>
    <xf numFmtId="164" fontId="39" fillId="2" borderId="33" xfId="1" applyNumberFormat="1" applyFont="1" applyFill="1" applyBorder="1" applyAlignment="1">
      <alignment horizontal="center" vertical="center" wrapText="1"/>
    </xf>
    <xf numFmtId="164" fontId="39" fillId="2" borderId="34" xfId="1" applyNumberFormat="1" applyFont="1" applyFill="1" applyBorder="1" applyAlignment="1">
      <alignment horizontal="center" vertical="center" wrapText="1"/>
    </xf>
    <xf numFmtId="164" fontId="39" fillId="2" borderId="39" xfId="1" applyNumberFormat="1" applyFont="1" applyFill="1" applyBorder="1" applyAlignment="1">
      <alignment horizontal="center" vertical="center" wrapText="1"/>
    </xf>
    <xf numFmtId="164" fontId="39" fillId="2" borderId="40" xfId="1" applyNumberFormat="1" applyFont="1" applyFill="1" applyBorder="1" applyAlignment="1">
      <alignment horizontal="center" vertical="center" wrapText="1"/>
    </xf>
    <xf numFmtId="164" fontId="39" fillId="2" borderId="41" xfId="1" applyNumberFormat="1" applyFont="1" applyFill="1" applyBorder="1" applyAlignment="1">
      <alignment horizontal="center" vertical="center" wrapText="1"/>
    </xf>
    <xf numFmtId="164" fontId="39" fillId="2" borderId="24" xfId="1" applyNumberFormat="1" applyFont="1" applyFill="1" applyBorder="1" applyAlignment="1">
      <alignment horizontal="center" vertical="center" wrapText="1"/>
    </xf>
    <xf numFmtId="164" fontId="39" fillId="2" borderId="25" xfId="1" applyNumberFormat="1" applyFont="1" applyFill="1" applyBorder="1" applyAlignment="1">
      <alignment horizontal="center" vertical="center" wrapText="1"/>
    </xf>
    <xf numFmtId="164" fontId="39" fillId="2" borderId="26" xfId="1" applyNumberFormat="1" applyFont="1" applyFill="1" applyBorder="1" applyAlignment="1">
      <alignment horizontal="center" vertical="center" wrapText="1"/>
    </xf>
    <xf numFmtId="164" fontId="39" fillId="0" borderId="24" xfId="0" applyNumberFormat="1" applyFont="1" applyFill="1" applyBorder="1" applyAlignment="1">
      <alignment horizontal="center" vertical="center" wrapText="1"/>
    </xf>
    <xf numFmtId="164" fontId="39" fillId="0" borderId="25" xfId="0" applyNumberFormat="1" applyFont="1" applyFill="1" applyBorder="1" applyAlignment="1">
      <alignment horizontal="center" vertical="center" wrapText="1"/>
    </xf>
    <xf numFmtId="164" fontId="39" fillId="0" borderId="26" xfId="0" applyNumberFormat="1" applyFont="1" applyFill="1" applyBorder="1" applyAlignment="1">
      <alignment horizontal="center" vertical="center" wrapText="1"/>
    </xf>
    <xf numFmtId="164" fontId="39" fillId="0" borderId="32" xfId="0" applyNumberFormat="1" applyFont="1" applyFill="1" applyBorder="1" applyAlignment="1">
      <alignment horizontal="center" vertical="center" wrapText="1"/>
    </xf>
    <xf numFmtId="164" fontId="39" fillId="0" borderId="33" xfId="0" applyNumberFormat="1" applyFont="1" applyFill="1" applyBorder="1" applyAlignment="1">
      <alignment horizontal="center" vertical="center" wrapText="1"/>
    </xf>
    <xf numFmtId="164" fontId="39" fillId="0" borderId="34" xfId="0" applyNumberFormat="1" applyFont="1" applyFill="1" applyBorder="1" applyAlignment="1">
      <alignment horizontal="center" vertical="center" wrapText="1"/>
    </xf>
    <xf numFmtId="164" fontId="39" fillId="2" borderId="32" xfId="0" applyNumberFormat="1" applyFont="1" applyFill="1" applyBorder="1" applyAlignment="1">
      <alignment horizontal="center" vertical="center" wrapText="1"/>
    </xf>
    <xf numFmtId="164" fontId="39" fillId="2" borderId="33" xfId="0" applyNumberFormat="1" applyFont="1" applyFill="1" applyBorder="1" applyAlignment="1">
      <alignment horizontal="center" vertical="center" wrapText="1"/>
    </xf>
    <xf numFmtId="164" fontId="39" fillId="2" borderId="34" xfId="0" applyNumberFormat="1" applyFont="1" applyFill="1" applyBorder="1" applyAlignment="1">
      <alignment horizontal="center" vertical="center" wrapText="1"/>
    </xf>
    <xf numFmtId="164" fontId="39" fillId="2" borderId="39" xfId="0" applyNumberFormat="1" applyFont="1" applyFill="1" applyBorder="1" applyAlignment="1">
      <alignment horizontal="center" vertical="center" wrapText="1"/>
    </xf>
    <xf numFmtId="164" fontId="39" fillId="2" borderId="40" xfId="0" applyNumberFormat="1" applyFont="1" applyFill="1" applyBorder="1" applyAlignment="1">
      <alignment horizontal="center" vertical="center" wrapText="1"/>
    </xf>
    <xf numFmtId="164" fontId="39" fillId="2" borderId="41" xfId="0" applyNumberFormat="1" applyFont="1" applyFill="1" applyBorder="1" applyAlignment="1">
      <alignment horizontal="center" vertical="center" wrapText="1"/>
    </xf>
    <xf numFmtId="164" fontId="39" fillId="2" borderId="24" xfId="0" applyNumberFormat="1" applyFont="1" applyFill="1" applyBorder="1" applyAlignment="1">
      <alignment horizontal="center" vertical="center" wrapText="1"/>
    </xf>
    <xf numFmtId="164" fontId="39" fillId="2" borderId="25" xfId="0" applyNumberFormat="1" applyFont="1" applyFill="1" applyBorder="1" applyAlignment="1">
      <alignment horizontal="center" vertical="center" wrapText="1"/>
    </xf>
    <xf numFmtId="164" fontId="39" fillId="2" borderId="26" xfId="0" applyNumberFormat="1" applyFont="1" applyFill="1" applyBorder="1" applyAlignment="1">
      <alignment horizontal="center" vertical="center" wrapText="1"/>
    </xf>
    <xf numFmtId="164" fontId="39" fillId="2" borderId="127" xfId="1" applyNumberFormat="1" applyFont="1" applyFill="1" applyBorder="1" applyAlignment="1">
      <alignment horizontal="center" vertical="center" wrapText="1"/>
    </xf>
    <xf numFmtId="164" fontId="39" fillId="2" borderId="91" xfId="1" applyNumberFormat="1" applyFont="1" applyFill="1" applyBorder="1" applyAlignment="1">
      <alignment horizontal="center" vertical="center" wrapText="1"/>
    </xf>
    <xf numFmtId="164" fontId="39" fillId="2" borderId="128" xfId="1" applyNumberFormat="1" applyFont="1" applyFill="1" applyBorder="1" applyAlignment="1">
      <alignment horizontal="center" vertical="center" wrapText="1"/>
    </xf>
    <xf numFmtId="164" fontId="39" fillId="6" borderId="24" xfId="1" applyNumberFormat="1" applyFont="1" applyFill="1" applyBorder="1" applyAlignment="1">
      <alignment horizontal="center" vertical="center" wrapText="1"/>
    </xf>
    <xf numFmtId="164" fontId="39" fillId="6" borderId="127" xfId="1" applyNumberFormat="1" applyFont="1" applyFill="1" applyBorder="1" applyAlignment="1">
      <alignment horizontal="center" vertical="center" wrapText="1"/>
    </xf>
    <xf numFmtId="164" fontId="39" fillId="13" borderId="32" xfId="1" applyNumberFormat="1" applyFont="1" applyFill="1" applyBorder="1" applyAlignment="1">
      <alignment horizontal="center" vertical="center" wrapText="1"/>
    </xf>
    <xf numFmtId="164" fontId="39" fillId="6" borderId="39" xfId="1" applyNumberFormat="1" applyFont="1" applyFill="1" applyBorder="1" applyAlignment="1">
      <alignment horizontal="center" vertical="center" wrapText="1"/>
    </xf>
    <xf numFmtId="9" fontId="2" fillId="6" borderId="0" xfId="1" applyNumberFormat="1" applyFont="1" applyFill="1"/>
    <xf numFmtId="9" fontId="2" fillId="9" borderId="0" xfId="1" applyNumberFormat="1" applyFont="1" applyFill="1"/>
    <xf numFmtId="9" fontId="2" fillId="13" borderId="0" xfId="1" applyNumberFormat="1" applyFont="1" applyFill="1"/>
    <xf numFmtId="9" fontId="2" fillId="0" borderId="0" xfId="1" applyNumberFormat="1" applyFont="1"/>
    <xf numFmtId="10" fontId="39" fillId="0" borderId="33" xfId="0" applyNumberFormat="1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justify" vertical="top" wrapText="1"/>
    </xf>
    <xf numFmtId="10" fontId="39" fillId="0" borderId="91" xfId="0" applyNumberFormat="1" applyFont="1" applyFill="1" applyBorder="1" applyAlignment="1">
      <alignment horizontal="center" vertical="center" wrapText="1"/>
    </xf>
    <xf numFmtId="10" fontId="5" fillId="0" borderId="91" xfId="0" applyNumberFormat="1" applyFont="1" applyFill="1" applyBorder="1" applyAlignment="1">
      <alignment horizontal="center" vertical="center" wrapText="1"/>
    </xf>
    <xf numFmtId="10" fontId="39" fillId="6" borderId="33" xfId="0" applyNumberFormat="1" applyFont="1" applyFill="1" applyBorder="1" applyAlignment="1">
      <alignment horizontal="center" vertical="center" wrapText="1"/>
    </xf>
    <xf numFmtId="10" fontId="39" fillId="6" borderId="91" xfId="0" applyNumberFormat="1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justify" vertical="top" wrapText="1"/>
    </xf>
    <xf numFmtId="9" fontId="39" fillId="0" borderId="25" xfId="0" applyNumberFormat="1" applyFont="1" applyFill="1" applyBorder="1" applyAlignment="1">
      <alignment horizontal="center" vertical="center" wrapText="1"/>
    </xf>
    <xf numFmtId="164" fontId="39" fillId="13" borderId="25" xfId="0" applyNumberFormat="1" applyFont="1" applyFill="1" applyBorder="1" applyAlignment="1">
      <alignment horizontal="center" vertical="center" wrapText="1"/>
    </xf>
    <xf numFmtId="9" fontId="39" fillId="0" borderId="33" xfId="0" applyNumberFormat="1" applyFont="1" applyFill="1" applyBorder="1" applyAlignment="1">
      <alignment horizontal="center" vertical="center" wrapText="1"/>
    </xf>
    <xf numFmtId="9" fontId="39" fillId="6" borderId="33" xfId="0" applyNumberFormat="1" applyFont="1" applyFill="1" applyBorder="1" applyAlignment="1">
      <alignment horizontal="center" vertical="center" wrapText="1"/>
    </xf>
    <xf numFmtId="9" fontId="39" fillId="0" borderId="40" xfId="0" applyNumberFormat="1" applyFont="1" applyFill="1" applyBorder="1" applyAlignment="1">
      <alignment horizontal="center" vertical="center" wrapText="1"/>
    </xf>
    <xf numFmtId="9" fontId="39" fillId="6" borderId="40" xfId="0" applyNumberFormat="1" applyFont="1" applyFill="1" applyBorder="1" applyAlignment="1">
      <alignment horizontal="center" vertical="center" wrapText="1"/>
    </xf>
    <xf numFmtId="3" fontId="4" fillId="0" borderId="147" xfId="0" applyNumberFormat="1" applyFont="1" applyFill="1" applyBorder="1" applyAlignment="1">
      <alignment vertical="center" wrapText="1"/>
    </xf>
    <xf numFmtId="10" fontId="0" fillId="0" borderId="148" xfId="0" applyNumberFormat="1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justify" vertical="top" wrapText="1"/>
    </xf>
    <xf numFmtId="9" fontId="39" fillId="0" borderId="149" xfId="0" applyNumberFormat="1" applyFont="1" applyFill="1" applyBorder="1" applyAlignment="1">
      <alignment horizontal="center" vertical="center" wrapText="1"/>
    </xf>
    <xf numFmtId="9" fontId="39" fillId="6" borderId="149" xfId="0" applyNumberFormat="1" applyFont="1" applyFill="1" applyBorder="1" applyAlignment="1">
      <alignment horizontal="center" vertical="center" wrapText="1"/>
    </xf>
    <xf numFmtId="3" fontId="4" fillId="0" borderId="151" xfId="0" applyNumberFormat="1" applyFont="1" applyFill="1" applyBorder="1" applyAlignment="1">
      <alignment horizontal="center" vertical="center" wrapText="1"/>
    </xf>
    <xf numFmtId="10" fontId="0" fillId="0" borderId="152" xfId="0" applyNumberFormat="1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justify" vertical="top" wrapText="1"/>
    </xf>
    <xf numFmtId="9" fontId="39" fillId="0" borderId="153" xfId="0" applyNumberFormat="1" applyFont="1" applyFill="1" applyBorder="1" applyAlignment="1">
      <alignment horizontal="center" vertical="center" wrapText="1"/>
    </xf>
    <xf numFmtId="9" fontId="39" fillId="6" borderId="153" xfId="0" applyNumberFormat="1" applyFont="1" applyFill="1" applyBorder="1" applyAlignment="1">
      <alignment horizontal="center" vertical="center" wrapText="1"/>
    </xf>
    <xf numFmtId="9" fontId="8" fillId="0" borderId="25" xfId="1" applyFont="1" applyFill="1" applyBorder="1" applyAlignment="1">
      <alignment horizontal="center" vertical="center" wrapText="1"/>
    </xf>
    <xf numFmtId="9" fontId="9" fillId="2" borderId="23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 wrapText="1"/>
    </xf>
    <xf numFmtId="164" fontId="28" fillId="0" borderId="20" xfId="1" applyNumberFormat="1" applyFont="1" applyFill="1" applyBorder="1" applyAlignment="1">
      <alignment horizontal="center" vertical="center" wrapText="1"/>
    </xf>
    <xf numFmtId="164" fontId="28" fillId="0" borderId="54" xfId="0" applyNumberFormat="1" applyFont="1" applyFill="1" applyBorder="1" applyAlignment="1">
      <alignment horizontal="center" vertical="center" wrapText="1"/>
    </xf>
    <xf numFmtId="164" fontId="28" fillId="0" borderId="55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0" fontId="5" fillId="0" borderId="35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0" fontId="5" fillId="0" borderId="42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9" fontId="8" fillId="0" borderId="21" xfId="0" applyNumberFormat="1" applyFont="1" applyFill="1" applyBorder="1" applyAlignment="1">
      <alignment horizontal="center" vertical="center" wrapText="1"/>
    </xf>
    <xf numFmtId="10" fontId="5" fillId="0" borderId="23" xfId="0" applyNumberFormat="1" applyFont="1" applyFill="1" applyBorder="1" applyAlignment="1">
      <alignment horizontal="center" vertical="center" wrapText="1"/>
    </xf>
    <xf numFmtId="0" fontId="29" fillId="13" borderId="0" xfId="0" applyFont="1" applyFill="1"/>
    <xf numFmtId="0" fontId="24" fillId="13" borderId="0" xfId="0" applyFont="1" applyFill="1"/>
    <xf numFmtId="0" fontId="29" fillId="6" borderId="0" xfId="0" applyFont="1" applyFill="1"/>
    <xf numFmtId="0" fontId="24" fillId="6" borderId="0" xfId="0" applyFont="1" applyFill="1"/>
    <xf numFmtId="0" fontId="24" fillId="9" borderId="0" xfId="0" applyFont="1" applyFill="1"/>
    <xf numFmtId="0" fontId="29" fillId="0" borderId="0" xfId="0" applyFont="1"/>
    <xf numFmtId="164" fontId="29" fillId="0" borderId="0" xfId="0" applyNumberFormat="1" applyFont="1"/>
    <xf numFmtId="0" fontId="27" fillId="0" borderId="94" xfId="0" applyFont="1" applyFill="1" applyBorder="1" applyAlignment="1">
      <alignment horizontal="justify" vertical="top" wrapText="1"/>
    </xf>
    <xf numFmtId="9" fontId="29" fillId="6" borderId="0" xfId="1" applyNumberFormat="1" applyFont="1" applyFill="1"/>
    <xf numFmtId="9" fontId="29" fillId="9" borderId="0" xfId="1" applyNumberFormat="1" applyFont="1" applyFill="1"/>
    <xf numFmtId="9" fontId="29" fillId="13" borderId="0" xfId="1" applyNumberFormat="1" applyFont="1" applyFill="1"/>
    <xf numFmtId="10" fontId="2" fillId="6" borderId="33" xfId="1" applyNumberFormat="1" applyFont="1" applyFill="1" applyBorder="1"/>
    <xf numFmtId="10" fontId="2" fillId="9" borderId="33" xfId="1" applyNumberFormat="1" applyFont="1" applyFill="1" applyBorder="1"/>
    <xf numFmtId="10" fontId="4" fillId="0" borderId="3" xfId="1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0" fontId="2" fillId="13" borderId="33" xfId="1" applyNumberFormat="1" applyFont="1" applyFill="1" applyBorder="1"/>
    <xf numFmtId="10" fontId="2" fillId="0" borderId="0" xfId="1" applyNumberFormat="1" applyFont="1"/>
    <xf numFmtId="3" fontId="4" fillId="0" borderId="140" xfId="0" applyNumberFormat="1" applyFont="1" applyFill="1" applyBorder="1" applyAlignment="1">
      <alignment vertical="center" wrapText="1"/>
    </xf>
    <xf numFmtId="10" fontId="0" fillId="0" borderId="62" xfId="1" applyNumberFormat="1" applyFont="1" applyFill="1" applyBorder="1" applyAlignment="1">
      <alignment horizontal="center" vertical="center"/>
    </xf>
    <xf numFmtId="164" fontId="2" fillId="6" borderId="0" xfId="1" applyNumberFormat="1" applyFont="1" applyFill="1"/>
    <xf numFmtId="164" fontId="2" fillId="9" borderId="0" xfId="1" applyNumberFormat="1" applyFont="1" applyFill="1"/>
    <xf numFmtId="164" fontId="2" fillId="13" borderId="0" xfId="1" applyNumberFormat="1" applyFont="1" applyFill="1"/>
    <xf numFmtId="164" fontId="2" fillId="0" borderId="0" xfId="0" applyNumberFormat="1" applyFont="1"/>
    <xf numFmtId="0" fontId="4" fillId="14" borderId="4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5" fillId="0" borderId="58" xfId="0" applyNumberFormat="1" applyFont="1" applyFill="1" applyBorder="1" applyAlignment="1">
      <alignment horizontal="center" vertical="center" wrapText="1"/>
    </xf>
    <xf numFmtId="10" fontId="29" fillId="6" borderId="0" xfId="1" applyNumberFormat="1" applyFont="1" applyFill="1"/>
    <xf numFmtId="10" fontId="29" fillId="9" borderId="0" xfId="1" applyNumberFormat="1" applyFont="1" applyFill="1"/>
    <xf numFmtId="10" fontId="29" fillId="13" borderId="0" xfId="1" applyNumberFormat="1" applyFont="1" applyFill="1"/>
    <xf numFmtId="10" fontId="29" fillId="0" borderId="0" xfId="1" applyNumberFormat="1" applyFont="1"/>
    <xf numFmtId="9" fontId="39" fillId="0" borderId="34" xfId="1" applyNumberFormat="1" applyFont="1" applyFill="1" applyBorder="1" applyAlignment="1">
      <alignment horizontal="center" vertical="center" wrapText="1"/>
    </xf>
    <xf numFmtId="9" fontId="39" fillId="0" borderId="128" xfId="1" applyNumberFormat="1" applyFont="1" applyFill="1" applyBorder="1" applyAlignment="1">
      <alignment horizontal="center" vertical="center" wrapText="1"/>
    </xf>
    <xf numFmtId="10" fontId="39" fillId="13" borderId="33" xfId="1" applyNumberFormat="1" applyFont="1" applyFill="1" applyBorder="1" applyAlignment="1">
      <alignment horizontal="center" vertical="center" wrapText="1"/>
    </xf>
    <xf numFmtId="10" fontId="39" fillId="6" borderId="33" xfId="1" applyNumberFormat="1" applyFont="1" applyFill="1" applyBorder="1" applyAlignment="1">
      <alignment horizontal="center" vertical="center" wrapText="1"/>
    </xf>
    <xf numFmtId="10" fontId="39" fillId="13" borderId="91" xfId="1" applyNumberFormat="1" applyFont="1" applyFill="1" applyBorder="1" applyAlignment="1">
      <alignment horizontal="center" vertical="center" wrapText="1"/>
    </xf>
    <xf numFmtId="9" fontId="0" fillId="6" borderId="0" xfId="0" applyNumberFormat="1" applyFill="1"/>
    <xf numFmtId="164" fontId="39" fillId="0" borderId="33" xfId="1" applyNumberFormat="1" applyFont="1" applyFill="1" applyBorder="1" applyAlignment="1">
      <alignment horizontal="center" vertical="center" wrapText="1"/>
    </xf>
    <xf numFmtId="9" fontId="39" fillId="6" borderId="33" xfId="1" applyNumberFormat="1" applyFont="1" applyFill="1" applyBorder="1" applyAlignment="1">
      <alignment horizontal="center" vertical="center" wrapText="1"/>
    </xf>
    <xf numFmtId="10" fontId="2" fillId="0" borderId="149" xfId="1" applyNumberFormat="1" applyFont="1" applyBorder="1" applyAlignment="1">
      <alignment horizontal="center" vertical="center"/>
    </xf>
    <xf numFmtId="10" fontId="2" fillId="0" borderId="150" xfId="1" applyNumberFormat="1" applyFont="1" applyBorder="1" applyAlignment="1">
      <alignment horizontal="center" vertical="center"/>
    </xf>
    <xf numFmtId="10" fontId="2" fillId="0" borderId="59" xfId="1" applyNumberFormat="1" applyFont="1" applyBorder="1" applyAlignment="1">
      <alignment horizontal="center" vertical="center"/>
    </xf>
    <xf numFmtId="10" fontId="2" fillId="0" borderId="17" xfId="1" applyNumberFormat="1" applyFont="1" applyBorder="1" applyAlignment="1">
      <alignment horizontal="center" vertical="center"/>
    </xf>
    <xf numFmtId="10" fontId="2" fillId="0" borderId="116" xfId="1" applyNumberFormat="1" applyFont="1" applyBorder="1" applyAlignment="1">
      <alignment horizontal="center" vertical="center"/>
    </xf>
    <xf numFmtId="10" fontId="2" fillId="0" borderId="153" xfId="1" applyNumberFormat="1" applyFont="1" applyBorder="1" applyAlignment="1">
      <alignment horizontal="center" vertical="center"/>
    </xf>
    <xf numFmtId="10" fontId="2" fillId="0" borderId="154" xfId="1" applyNumberFormat="1" applyFont="1" applyBorder="1" applyAlignment="1">
      <alignment horizontal="center" vertical="center"/>
    </xf>
    <xf numFmtId="9" fontId="39" fillId="13" borderId="25" xfId="0" applyNumberFormat="1" applyFont="1" applyFill="1" applyBorder="1" applyAlignment="1">
      <alignment horizontal="center" vertical="center" wrapText="1"/>
    </xf>
    <xf numFmtId="9" fontId="39" fillId="13" borderId="33" xfId="0" applyNumberFormat="1" applyFont="1" applyFill="1" applyBorder="1" applyAlignment="1">
      <alignment horizontal="center" vertical="center" wrapText="1"/>
    </xf>
    <xf numFmtId="9" fontId="0" fillId="13" borderId="0" xfId="1" applyFont="1" applyFill="1"/>
    <xf numFmtId="9" fontId="39" fillId="0" borderId="21" xfId="1" applyNumberFormat="1" applyFont="1" applyFill="1" applyBorder="1" applyAlignment="1">
      <alignment horizontal="center" vertical="center" wrapText="1"/>
    </xf>
    <xf numFmtId="10" fontId="2" fillId="0" borderId="0" xfId="1" applyNumberFormat="1" applyFont="1" applyFill="1"/>
    <xf numFmtId="4" fontId="2" fillId="0" borderId="0" xfId="1" applyNumberFormat="1" applyFont="1"/>
    <xf numFmtId="164" fontId="39" fillId="13" borderId="21" xfId="1" applyNumberFormat="1" applyFont="1" applyFill="1" applyBorder="1" applyAlignment="1">
      <alignment horizontal="center" vertical="center" wrapText="1"/>
    </xf>
    <xf numFmtId="0" fontId="2" fillId="6" borderId="35" xfId="0" applyFont="1" applyFill="1" applyBorder="1"/>
    <xf numFmtId="0" fontId="2" fillId="9" borderId="35" xfId="0" applyFont="1" applyFill="1" applyBorder="1"/>
    <xf numFmtId="0" fontId="2" fillId="10" borderId="35" xfId="0" applyFont="1" applyFill="1" applyBorder="1"/>
    <xf numFmtId="0" fontId="2" fillId="0" borderId="35" xfId="0" applyFont="1" applyBorder="1"/>
    <xf numFmtId="0" fontId="2" fillId="0" borderId="0" xfId="0" applyFont="1" applyBorder="1"/>
    <xf numFmtId="10" fontId="39" fillId="0" borderId="85" xfId="0" applyNumberFormat="1" applyFont="1" applyFill="1" applyBorder="1" applyAlignment="1">
      <alignment horizontal="center" vertical="center" wrapText="1"/>
    </xf>
    <xf numFmtId="10" fontId="39" fillId="6" borderId="85" xfId="0" applyNumberFormat="1" applyFont="1" applyFill="1" applyBorder="1" applyAlignment="1">
      <alignment horizontal="center" vertical="center" wrapText="1"/>
    </xf>
    <xf numFmtId="10" fontId="39" fillId="0" borderId="40" xfId="0" applyNumberFormat="1" applyFont="1" applyFill="1" applyBorder="1" applyAlignment="1">
      <alignment horizontal="center" vertical="center" wrapText="1"/>
    </xf>
    <xf numFmtId="10" fontId="39" fillId="6" borderId="40" xfId="0" applyNumberFormat="1" applyFont="1" applyFill="1" applyBorder="1" applyAlignment="1">
      <alignment horizontal="center" vertical="center" wrapText="1"/>
    </xf>
    <xf numFmtId="10" fontId="39" fillId="0" borderId="25" xfId="0" applyNumberFormat="1" applyFont="1" applyFill="1" applyBorder="1" applyAlignment="1">
      <alignment horizontal="center" vertical="center" wrapText="1"/>
    </xf>
    <xf numFmtId="10" fontId="39" fillId="6" borderId="25" xfId="1" applyNumberFormat="1" applyFont="1" applyFill="1" applyBorder="1" applyAlignment="1">
      <alignment horizontal="center" vertical="center" wrapText="1"/>
    </xf>
    <xf numFmtId="10" fontId="39" fillId="6" borderId="40" xfId="1" applyNumberFormat="1" applyFont="1" applyFill="1" applyBorder="1" applyAlignment="1">
      <alignment horizontal="center" vertical="center" wrapText="1"/>
    </xf>
    <xf numFmtId="10" fontId="39" fillId="0" borderId="17" xfId="1" applyNumberFormat="1" applyFont="1" applyBorder="1" applyAlignment="1">
      <alignment horizontal="center" vertical="center"/>
    </xf>
    <xf numFmtId="10" fontId="39" fillId="13" borderId="17" xfId="0" applyNumberFormat="1" applyFont="1" applyFill="1" applyBorder="1" applyAlignment="1">
      <alignment horizontal="center" vertical="center" wrapText="1"/>
    </xf>
    <xf numFmtId="10" fontId="39" fillId="6" borderId="17" xfId="0" applyNumberFormat="1" applyFont="1" applyFill="1" applyBorder="1" applyAlignment="1">
      <alignment horizontal="center" vertical="center" wrapText="1"/>
    </xf>
    <xf numFmtId="10" fontId="39" fillId="6" borderId="25" xfId="0" applyNumberFormat="1" applyFont="1" applyFill="1" applyBorder="1" applyAlignment="1">
      <alignment horizontal="center" vertical="center" wrapText="1"/>
    </xf>
    <xf numFmtId="9" fontId="46" fillId="6" borderId="33" xfId="1" applyFont="1" applyFill="1" applyBorder="1" applyAlignment="1">
      <alignment horizontal="center" vertical="center"/>
    </xf>
    <xf numFmtId="10" fontId="39" fillId="0" borderId="55" xfId="0" applyNumberFormat="1" applyFont="1" applyFill="1" applyBorder="1" applyAlignment="1">
      <alignment horizontal="center" vertical="center" wrapText="1"/>
    </xf>
    <xf numFmtId="10" fontId="39" fillId="6" borderId="55" xfId="0" applyNumberFormat="1" applyFont="1" applyFill="1" applyBorder="1" applyAlignment="1">
      <alignment horizontal="center" vertical="center" wrapText="1"/>
    </xf>
    <xf numFmtId="9" fontId="46" fillId="13" borderId="55" xfId="1" applyFont="1" applyFill="1" applyBorder="1" applyAlignment="1">
      <alignment horizontal="center" vertical="center"/>
    </xf>
    <xf numFmtId="164" fontId="39" fillId="6" borderId="54" xfId="1" applyNumberFormat="1" applyFont="1" applyFill="1" applyBorder="1" applyAlignment="1">
      <alignment horizontal="center" vertical="center" wrapText="1"/>
    </xf>
    <xf numFmtId="164" fontId="5" fillId="0" borderId="56" xfId="1" applyNumberFormat="1" applyFont="1" applyFill="1" applyBorder="1" applyAlignment="1">
      <alignment horizontal="center" vertical="center" wrapText="1"/>
    </xf>
    <xf numFmtId="164" fontId="39" fillId="6" borderId="20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39" fillId="6" borderId="40" xfId="1" applyNumberFormat="1" applyFont="1" applyFill="1" applyBorder="1" applyAlignment="1">
      <alignment horizontal="center" vertical="center" wrapText="1"/>
    </xf>
    <xf numFmtId="164" fontId="39" fillId="9" borderId="39" xfId="1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justify" vertical="top" wrapText="1"/>
    </xf>
    <xf numFmtId="164" fontId="39" fillId="10" borderId="33" xfId="1" applyNumberFormat="1" applyFont="1" applyFill="1" applyBorder="1" applyAlignment="1">
      <alignment horizontal="center" vertical="center" wrapText="1"/>
    </xf>
    <xf numFmtId="164" fontId="39" fillId="6" borderId="21" xfId="1" applyNumberFormat="1" applyFont="1" applyFill="1" applyBorder="1" applyAlignment="1">
      <alignment horizontal="center" vertical="center" wrapText="1"/>
    </xf>
    <xf numFmtId="164" fontId="28" fillId="0" borderId="138" xfId="1" applyNumberFormat="1" applyFont="1" applyFill="1" applyBorder="1" applyAlignment="1">
      <alignment horizontal="center" vertical="center" wrapText="1"/>
    </xf>
    <xf numFmtId="164" fontId="28" fillId="0" borderId="85" xfId="1" applyNumberFormat="1" applyFont="1" applyFill="1" applyBorder="1" applyAlignment="1">
      <alignment horizontal="center" vertical="center" wrapText="1"/>
    </xf>
    <xf numFmtId="164" fontId="28" fillId="0" borderId="139" xfId="1" applyNumberFormat="1" applyFont="1" applyFill="1" applyBorder="1" applyAlignment="1">
      <alignment horizontal="center" vertical="center" wrapText="1"/>
    </xf>
    <xf numFmtId="10" fontId="15" fillId="11" borderId="107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9" fontId="39" fillId="0" borderId="138" xfId="1" applyNumberFormat="1" applyFont="1" applyFill="1" applyBorder="1" applyAlignment="1">
      <alignment horizontal="center" vertical="center" wrapText="1"/>
    </xf>
    <xf numFmtId="9" fontId="39" fillId="0" borderId="85" xfId="1" applyNumberFormat="1" applyFont="1" applyFill="1" applyBorder="1" applyAlignment="1">
      <alignment horizontal="center" vertical="center" wrapText="1"/>
    </xf>
    <xf numFmtId="9" fontId="39" fillId="0" borderId="94" xfId="1" applyNumberFormat="1" applyFont="1" applyFill="1" applyBorder="1" applyAlignment="1">
      <alignment horizontal="center" vertical="center" wrapText="1"/>
    </xf>
    <xf numFmtId="9" fontId="39" fillId="13" borderId="138" xfId="1" applyNumberFormat="1" applyFont="1" applyFill="1" applyBorder="1" applyAlignment="1">
      <alignment horizontal="center" vertical="center" wrapText="1"/>
    </xf>
    <xf numFmtId="10" fontId="39" fillId="13" borderId="85" xfId="1" applyNumberFormat="1" applyFont="1" applyFill="1" applyBorder="1" applyAlignment="1">
      <alignment horizontal="center" vertical="center" wrapText="1"/>
    </xf>
    <xf numFmtId="9" fontId="39" fillId="0" borderId="139" xfId="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39" fillId="13" borderId="85" xfId="1" applyNumberFormat="1" applyFont="1" applyFill="1" applyBorder="1" applyAlignment="1">
      <alignment horizontal="center" vertical="center" wrapText="1"/>
    </xf>
    <xf numFmtId="0" fontId="0" fillId="0" borderId="85" xfId="0" applyFont="1" applyBorder="1" applyAlignment="1">
      <alignment horizontal="justify" vertical="center" wrapText="1"/>
    </xf>
    <xf numFmtId="10" fontId="39" fillId="2" borderId="85" xfId="1" applyNumberFormat="1" applyFont="1" applyFill="1" applyBorder="1" applyAlignment="1">
      <alignment horizontal="center" vertical="center" wrapText="1"/>
    </xf>
    <xf numFmtId="10" fontId="2" fillId="6" borderId="85" xfId="1" applyNumberFormat="1" applyFont="1" applyFill="1" applyBorder="1" applyAlignment="1">
      <alignment horizontal="center" vertical="center" wrapText="1"/>
    </xf>
    <xf numFmtId="10" fontId="0" fillId="0" borderId="166" xfId="1" applyNumberFormat="1" applyFont="1" applyBorder="1" applyAlignment="1">
      <alignment horizontal="center" vertical="center"/>
    </xf>
    <xf numFmtId="10" fontId="1" fillId="13" borderId="85" xfId="1" applyNumberFormat="1" applyFont="1" applyFill="1" applyBorder="1" applyAlignment="1">
      <alignment horizontal="center" vertical="center" wrapText="1"/>
    </xf>
    <xf numFmtId="10" fontId="1" fillId="6" borderId="33" xfId="1" applyNumberFormat="1" applyFont="1" applyFill="1" applyBorder="1" applyAlignment="1">
      <alignment horizontal="center" vertical="center" wrapText="1"/>
    </xf>
    <xf numFmtId="3" fontId="4" fillId="0" borderId="89" xfId="0" applyNumberFormat="1" applyFont="1" applyFill="1" applyBorder="1" applyAlignment="1">
      <alignment vertical="center" wrapText="1"/>
    </xf>
    <xf numFmtId="9" fontId="0" fillId="0" borderId="85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justify" vertical="top" wrapText="1"/>
    </xf>
    <xf numFmtId="0" fontId="8" fillId="0" borderId="94" xfId="0" applyFont="1" applyFill="1" applyBorder="1" applyAlignment="1">
      <alignment horizontal="center" vertical="center" wrapText="1"/>
    </xf>
    <xf numFmtId="9" fontId="8" fillId="0" borderId="138" xfId="0" applyNumberFormat="1" applyFont="1" applyFill="1" applyBorder="1" applyAlignment="1">
      <alignment horizontal="center" vertical="center" wrapText="1"/>
    </xf>
    <xf numFmtId="9" fontId="8" fillId="0" borderId="85" xfId="0" applyNumberFormat="1" applyFont="1" applyFill="1" applyBorder="1" applyAlignment="1">
      <alignment horizontal="center" vertical="center" wrapText="1"/>
    </xf>
    <xf numFmtId="10" fontId="5" fillId="0" borderId="94" xfId="0" applyNumberFormat="1" applyFont="1" applyFill="1" applyBorder="1" applyAlignment="1">
      <alignment horizontal="center" vertical="center" wrapText="1"/>
    </xf>
    <xf numFmtId="0" fontId="48" fillId="0" borderId="0" xfId="0" applyFont="1"/>
    <xf numFmtId="0" fontId="8" fillId="0" borderId="55" xfId="0" applyFont="1" applyFill="1" applyBorder="1" applyAlignment="1">
      <alignment horizontal="center" vertical="center" wrapText="1"/>
    </xf>
    <xf numFmtId="9" fontId="8" fillId="0" borderId="55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/>
    </xf>
    <xf numFmtId="9" fontId="39" fillId="6" borderId="21" xfId="1" applyNumberFormat="1" applyFont="1" applyFill="1" applyBorder="1" applyAlignment="1">
      <alignment horizontal="center" vertical="center" wrapText="1"/>
    </xf>
    <xf numFmtId="164" fontId="2" fillId="6" borderId="33" xfId="1" applyNumberFormat="1" applyFont="1" applyFill="1" applyBorder="1"/>
    <xf numFmtId="164" fontId="2" fillId="9" borderId="33" xfId="1" applyNumberFormat="1" applyFont="1" applyFill="1" applyBorder="1"/>
    <xf numFmtId="164" fontId="2" fillId="10" borderId="33" xfId="1" applyNumberFormat="1" applyFont="1" applyFill="1" applyBorder="1"/>
    <xf numFmtId="164" fontId="2" fillId="0" borderId="33" xfId="1" applyNumberFormat="1" applyFont="1" applyBorder="1"/>
    <xf numFmtId="10" fontId="15" fillId="12" borderId="62" xfId="1" applyNumberFormat="1" applyFont="1" applyFill="1" applyBorder="1" applyAlignment="1">
      <alignment horizontal="center" vertical="center"/>
    </xf>
    <xf numFmtId="164" fontId="39" fillId="6" borderId="55" xfId="1" applyNumberFormat="1" applyFont="1" applyFill="1" applyBorder="1" applyAlignment="1">
      <alignment horizontal="center" vertical="center" wrapText="1"/>
    </xf>
    <xf numFmtId="164" fontId="39" fillId="6" borderId="91" xfId="1" applyNumberFormat="1" applyFont="1" applyFill="1" applyBorder="1" applyAlignment="1">
      <alignment horizontal="center" vertical="center" wrapText="1"/>
    </xf>
    <xf numFmtId="164" fontId="39" fillId="6" borderId="25" xfId="1" applyNumberFormat="1" applyFont="1" applyFill="1" applyBorder="1" applyAlignment="1">
      <alignment horizontal="center" vertical="center" wrapText="1"/>
    </xf>
    <xf numFmtId="10" fontId="2" fillId="0" borderId="169" xfId="1" applyNumberFormat="1" applyFont="1" applyBorder="1" applyAlignment="1">
      <alignment horizontal="center" vertical="center"/>
    </xf>
    <xf numFmtId="10" fontId="6" fillId="15" borderId="57" xfId="1" applyNumberFormat="1" applyFont="1" applyFill="1" applyBorder="1" applyAlignment="1">
      <alignment horizontal="center" vertical="center"/>
    </xf>
    <xf numFmtId="10" fontId="6" fillId="15" borderId="81" xfId="1" applyNumberFormat="1" applyFont="1" applyFill="1" applyBorder="1" applyAlignment="1">
      <alignment horizontal="center" vertical="center"/>
    </xf>
    <xf numFmtId="9" fontId="15" fillId="15" borderId="91" xfId="0" applyNumberFormat="1" applyFont="1" applyFill="1" applyBorder="1" applyAlignment="1">
      <alignment horizontal="center" vertical="center"/>
    </xf>
    <xf numFmtId="0" fontId="15" fillId="15" borderId="91" xfId="0" applyFont="1" applyFill="1" applyBorder="1" applyAlignment="1">
      <alignment vertical="center"/>
    </xf>
    <xf numFmtId="10" fontId="15" fillId="15" borderId="91" xfId="1" applyNumberFormat="1" applyFont="1" applyFill="1" applyBorder="1" applyAlignment="1">
      <alignment horizontal="center" vertical="center"/>
    </xf>
    <xf numFmtId="10" fontId="15" fillId="15" borderId="91" xfId="1" applyNumberFormat="1" applyFont="1" applyFill="1" applyBorder="1" applyAlignment="1">
      <alignment vertical="center"/>
    </xf>
    <xf numFmtId="10" fontId="15" fillId="15" borderId="92" xfId="1" applyNumberFormat="1" applyFont="1" applyFill="1" applyBorder="1" applyAlignment="1">
      <alignment horizontal="center" vertical="center"/>
    </xf>
    <xf numFmtId="10" fontId="15" fillId="15" borderId="118" xfId="1" applyNumberFormat="1" applyFont="1" applyFill="1" applyBorder="1" applyAlignment="1">
      <alignment horizontal="center" vertical="center"/>
    </xf>
    <xf numFmtId="10" fontId="38" fillId="15" borderId="55" xfId="1" applyNumberFormat="1" applyFont="1" applyFill="1" applyBorder="1" applyAlignment="1">
      <alignment horizontal="center" vertical="center"/>
    </xf>
    <xf numFmtId="10" fontId="38" fillId="15" borderId="125" xfId="1" applyNumberFormat="1" applyFont="1" applyFill="1" applyBorder="1" applyAlignment="1">
      <alignment horizontal="center" vertical="center"/>
    </xf>
    <xf numFmtId="0" fontId="15" fillId="15" borderId="90" xfId="0" applyFont="1" applyFill="1" applyBorder="1" applyAlignment="1">
      <alignment horizontal="center" vertical="center"/>
    </xf>
    <xf numFmtId="10" fontId="15" fillId="15" borderId="173" xfId="1" applyNumberFormat="1" applyFont="1" applyFill="1" applyBorder="1" applyAlignment="1">
      <alignment horizontal="center" vertical="center"/>
    </xf>
    <xf numFmtId="10" fontId="15" fillId="15" borderId="127" xfId="1" applyNumberFormat="1" applyFont="1" applyFill="1" applyBorder="1" applyAlignment="1">
      <alignment horizontal="center" vertical="center"/>
    </xf>
    <xf numFmtId="10" fontId="15" fillId="15" borderId="128" xfId="1" applyNumberFormat="1" applyFont="1" applyFill="1" applyBorder="1" applyAlignment="1">
      <alignment horizontal="center" vertical="center"/>
    </xf>
    <xf numFmtId="0" fontId="15" fillId="15" borderId="103" xfId="0" applyFont="1" applyFill="1" applyBorder="1" applyAlignment="1">
      <alignment vertical="center"/>
    </xf>
    <xf numFmtId="9" fontId="15" fillId="15" borderId="98" xfId="0" applyNumberFormat="1" applyFont="1" applyFill="1" applyBorder="1" applyAlignment="1">
      <alignment horizontal="center" vertical="center"/>
    </xf>
    <xf numFmtId="0" fontId="15" fillId="15" borderId="104" xfId="0" applyFont="1" applyFill="1" applyBorder="1" applyAlignment="1">
      <alignment vertical="center"/>
    </xf>
    <xf numFmtId="10" fontId="15" fillId="15" borderId="105" xfId="1" applyNumberFormat="1" applyFont="1" applyFill="1" applyBorder="1" applyAlignment="1">
      <alignment horizontal="center" vertical="center"/>
    </xf>
    <xf numFmtId="10" fontId="15" fillId="15" borderId="98" xfId="1" applyNumberFormat="1" applyFont="1" applyFill="1" applyBorder="1" applyAlignment="1">
      <alignment horizontal="center" vertical="center"/>
    </xf>
    <xf numFmtId="10" fontId="15" fillId="15" borderId="106" xfId="1" applyNumberFormat="1" applyFont="1" applyFill="1" applyBorder="1" applyAlignment="1">
      <alignment horizontal="center" vertical="center"/>
    </xf>
    <xf numFmtId="10" fontId="15" fillId="15" borderId="105" xfId="1" applyNumberFormat="1" applyFont="1" applyFill="1" applyBorder="1" applyAlignment="1">
      <alignment vertical="center"/>
    </xf>
    <xf numFmtId="10" fontId="15" fillId="15" borderId="98" xfId="1" applyNumberFormat="1" applyFont="1" applyFill="1" applyBorder="1" applyAlignment="1">
      <alignment vertical="center"/>
    </xf>
    <xf numFmtId="10" fontId="15" fillId="15" borderId="106" xfId="1" applyNumberFormat="1" applyFont="1" applyFill="1" applyBorder="1" applyAlignment="1">
      <alignment vertical="center"/>
    </xf>
    <xf numFmtId="10" fontId="15" fillId="15" borderId="107" xfId="1" applyNumberFormat="1" applyFont="1" applyFill="1" applyBorder="1" applyAlignment="1">
      <alignment horizontal="center" vertical="center"/>
    </xf>
    <xf numFmtId="10" fontId="15" fillId="15" borderId="164" xfId="1" applyNumberFormat="1" applyFont="1" applyFill="1" applyBorder="1" applyAlignment="1">
      <alignment horizontal="center" vertical="center"/>
    </xf>
    <xf numFmtId="10" fontId="15" fillId="15" borderId="108" xfId="1" applyNumberFormat="1" applyFont="1" applyFill="1" applyBorder="1" applyAlignment="1">
      <alignment horizontal="center" vertical="center"/>
    </xf>
    <xf numFmtId="10" fontId="6" fillId="15" borderId="91" xfId="1" applyNumberFormat="1" applyFont="1" applyFill="1" applyBorder="1" applyAlignment="1">
      <alignment horizontal="center" vertical="center"/>
    </xf>
    <xf numFmtId="10" fontId="6" fillId="15" borderId="92" xfId="1" applyNumberFormat="1" applyFont="1" applyFill="1" applyBorder="1" applyAlignment="1">
      <alignment horizontal="center" vertical="center"/>
    </xf>
    <xf numFmtId="0" fontId="15" fillId="15" borderId="103" xfId="0" applyFont="1" applyFill="1" applyBorder="1" applyAlignment="1">
      <alignment horizontal="center" vertical="center"/>
    </xf>
    <xf numFmtId="0" fontId="15" fillId="15" borderId="104" xfId="0" applyFont="1" applyFill="1" applyBorder="1" applyAlignment="1">
      <alignment horizontal="center" vertical="center"/>
    </xf>
    <xf numFmtId="10" fontId="15" fillId="15" borderId="111" xfId="1" applyNumberFormat="1" applyFont="1" applyFill="1" applyBorder="1" applyAlignment="1">
      <alignment horizontal="center" vertical="center"/>
    </xf>
    <xf numFmtId="10" fontId="26" fillId="15" borderId="127" xfId="1" applyNumberFormat="1" applyFont="1" applyFill="1" applyBorder="1" applyAlignment="1">
      <alignment horizontal="center" vertical="center"/>
    </xf>
    <xf numFmtId="10" fontId="26" fillId="15" borderId="91" xfId="1" applyNumberFormat="1" applyFont="1" applyFill="1" applyBorder="1" applyAlignment="1">
      <alignment horizontal="center" vertical="center"/>
    </xf>
    <xf numFmtId="10" fontId="26" fillId="15" borderId="117" xfId="1" applyNumberFormat="1" applyFont="1" applyFill="1" applyBorder="1" applyAlignment="1">
      <alignment horizontal="center" vertical="center"/>
    </xf>
    <xf numFmtId="10" fontId="26" fillId="15" borderId="128" xfId="1" applyNumberFormat="1" applyFont="1" applyFill="1" applyBorder="1" applyAlignment="1">
      <alignment horizontal="center" vertical="center"/>
    </xf>
    <xf numFmtId="0" fontId="15" fillId="15" borderId="129" xfId="0" applyFont="1" applyFill="1" applyBorder="1" applyAlignment="1">
      <alignment horizontal="center" vertical="center"/>
    </xf>
    <xf numFmtId="9" fontId="15" fillId="15" borderId="130" xfId="0" applyNumberFormat="1" applyFont="1" applyFill="1" applyBorder="1" applyAlignment="1">
      <alignment horizontal="center" vertical="center"/>
    </xf>
    <xf numFmtId="0" fontId="15" fillId="15" borderId="131" xfId="0" applyFont="1" applyFill="1" applyBorder="1" applyAlignment="1">
      <alignment vertical="center"/>
    </xf>
    <xf numFmtId="10" fontId="15" fillId="15" borderId="132" xfId="1" applyNumberFormat="1" applyFont="1" applyFill="1" applyBorder="1" applyAlignment="1">
      <alignment horizontal="center" vertical="center"/>
    </xf>
    <xf numFmtId="10" fontId="15" fillId="15" borderId="130" xfId="1" applyNumberFormat="1" applyFont="1" applyFill="1" applyBorder="1" applyAlignment="1">
      <alignment horizontal="center" vertical="center"/>
    </xf>
    <xf numFmtId="10" fontId="15" fillId="15" borderId="131" xfId="1" applyNumberFormat="1" applyFont="1" applyFill="1" applyBorder="1" applyAlignment="1">
      <alignment horizontal="center" vertical="center"/>
    </xf>
    <xf numFmtId="10" fontId="15" fillId="15" borderId="133" xfId="1" applyNumberFormat="1" applyFont="1" applyFill="1" applyBorder="1" applyAlignment="1">
      <alignment horizontal="center" vertical="center"/>
    </xf>
    <xf numFmtId="10" fontId="15" fillId="15" borderId="132" xfId="1" applyNumberFormat="1" applyFont="1" applyFill="1" applyBorder="1" applyAlignment="1">
      <alignment vertical="center"/>
    </xf>
    <xf numFmtId="10" fontId="15" fillId="15" borderId="130" xfId="1" applyNumberFormat="1" applyFont="1" applyFill="1" applyBorder="1" applyAlignment="1">
      <alignment vertical="center"/>
    </xf>
    <xf numFmtId="10" fontId="15" fillId="15" borderId="133" xfId="1" applyNumberFormat="1" applyFont="1" applyFill="1" applyBorder="1" applyAlignment="1">
      <alignment vertical="center"/>
    </xf>
    <xf numFmtId="10" fontId="6" fillId="15" borderId="55" xfId="1" applyNumberFormat="1" applyFont="1" applyFill="1" applyBorder="1" applyAlignment="1">
      <alignment horizontal="center" vertical="center"/>
    </xf>
    <xf numFmtId="10" fontId="6" fillId="15" borderId="56" xfId="1" applyNumberFormat="1" applyFont="1" applyFill="1" applyBorder="1" applyAlignment="1">
      <alignment horizontal="center" vertical="center"/>
    </xf>
    <xf numFmtId="10" fontId="15" fillId="15" borderId="159" xfId="1" applyNumberFormat="1" applyFont="1" applyFill="1" applyBorder="1" applyAlignment="1">
      <alignment horizontal="center" vertical="center"/>
    </xf>
    <xf numFmtId="10" fontId="20" fillId="15" borderId="127" xfId="1" applyNumberFormat="1" applyFont="1" applyFill="1" applyBorder="1" applyAlignment="1">
      <alignment horizontal="center" vertical="center"/>
    </xf>
    <xf numFmtId="10" fontId="20" fillId="15" borderId="91" xfId="1" applyNumberFormat="1" applyFont="1" applyFill="1" applyBorder="1" applyAlignment="1">
      <alignment horizontal="center" vertical="center"/>
    </xf>
    <xf numFmtId="10" fontId="20" fillId="15" borderId="128" xfId="1" applyNumberFormat="1" applyFont="1" applyFill="1" applyBorder="1" applyAlignment="1">
      <alignment horizontal="center" vertical="center"/>
    </xf>
    <xf numFmtId="10" fontId="20" fillId="15" borderId="92" xfId="1" applyNumberFormat="1" applyFont="1" applyFill="1" applyBorder="1" applyAlignment="1">
      <alignment horizontal="center" vertical="center"/>
    </xf>
    <xf numFmtId="10" fontId="6" fillId="15" borderId="125" xfId="1" applyNumberFormat="1" applyFont="1" applyFill="1" applyBorder="1" applyAlignment="1">
      <alignment horizontal="center" vertical="center"/>
    </xf>
    <xf numFmtId="0" fontId="38" fillId="15" borderId="103" xfId="0" applyFont="1" applyFill="1" applyBorder="1" applyAlignment="1">
      <alignment vertical="center"/>
    </xf>
    <xf numFmtId="10" fontId="38" fillId="15" borderId="104" xfId="0" applyNumberFormat="1" applyFont="1" applyFill="1" applyBorder="1" applyAlignment="1">
      <alignment horizontal="center" vertical="center"/>
    </xf>
    <xf numFmtId="0" fontId="38" fillId="15" borderId="98" xfId="0" applyFont="1" applyFill="1" applyBorder="1" applyAlignment="1">
      <alignment vertical="center"/>
    </xf>
    <xf numFmtId="10" fontId="38" fillId="15" borderId="98" xfId="1" applyNumberFormat="1" applyFont="1" applyFill="1" applyBorder="1" applyAlignment="1">
      <alignment horizontal="center" vertical="center"/>
    </xf>
    <xf numFmtId="10" fontId="38" fillId="15" borderId="98" xfId="1" applyNumberFormat="1" applyFont="1" applyFill="1" applyBorder="1" applyAlignment="1">
      <alignment vertical="center"/>
    </xf>
    <xf numFmtId="10" fontId="38" fillId="15" borderId="91" xfId="1" applyNumberFormat="1" applyFont="1" applyFill="1" applyBorder="1" applyAlignment="1">
      <alignment horizontal="center" vertical="center"/>
    </xf>
    <xf numFmtId="9" fontId="38" fillId="15" borderId="98" xfId="0" applyNumberFormat="1" applyFont="1" applyFill="1" applyBorder="1" applyAlignment="1">
      <alignment horizontal="center" vertical="center"/>
    </xf>
    <xf numFmtId="10" fontId="38" fillId="15" borderId="107" xfId="1" applyNumberFormat="1" applyFont="1" applyFill="1" applyBorder="1" applyAlignment="1">
      <alignment horizontal="center" vertical="center"/>
    </xf>
    <xf numFmtId="10" fontId="38" fillId="15" borderId="164" xfId="1" applyNumberFormat="1" applyFont="1" applyFill="1" applyBorder="1" applyAlignment="1">
      <alignment horizontal="center" vertical="center"/>
    </xf>
    <xf numFmtId="10" fontId="6" fillId="15" borderId="118" xfId="1" applyNumberFormat="1" applyFont="1" applyFill="1" applyBorder="1" applyAlignment="1">
      <alignment horizontal="center" vertical="center"/>
    </xf>
    <xf numFmtId="9" fontId="39" fillId="6" borderId="91" xfId="1" applyFont="1" applyFill="1" applyBorder="1" applyAlignment="1">
      <alignment horizontal="center" vertical="center" wrapText="1"/>
    </xf>
    <xf numFmtId="0" fontId="5" fillId="13" borderId="55" xfId="0" applyFont="1" applyFill="1" applyBorder="1" applyAlignment="1">
      <alignment horizontal="left" vertical="center" wrapText="1"/>
    </xf>
    <xf numFmtId="9" fontId="2" fillId="0" borderId="120" xfId="1" applyFont="1" applyFill="1" applyBorder="1" applyAlignment="1">
      <alignment horizontal="center" vertical="center" wrapText="1"/>
    </xf>
    <xf numFmtId="9" fontId="2" fillId="0" borderId="123" xfId="1" applyFont="1" applyFill="1" applyBorder="1" applyAlignment="1">
      <alignment horizontal="center" vertical="center" wrapText="1"/>
    </xf>
    <xf numFmtId="9" fontId="2" fillId="6" borderId="122" xfId="1" applyFont="1" applyFill="1" applyBorder="1" applyAlignment="1">
      <alignment horizontal="center" vertical="center" wrapText="1"/>
    </xf>
    <xf numFmtId="9" fontId="2" fillId="6" borderId="120" xfId="1" applyFont="1" applyFill="1" applyBorder="1" applyAlignment="1">
      <alignment horizontal="center" vertical="center" wrapText="1"/>
    </xf>
    <xf numFmtId="9" fontId="2" fillId="13" borderId="120" xfId="1" applyFont="1" applyFill="1" applyBorder="1" applyAlignment="1">
      <alignment horizontal="center" vertical="center" wrapText="1"/>
    </xf>
    <xf numFmtId="9" fontId="2" fillId="0" borderId="121" xfId="1" applyFont="1" applyFill="1" applyBorder="1" applyAlignment="1">
      <alignment horizontal="center" vertical="center" wrapText="1"/>
    </xf>
    <xf numFmtId="9" fontId="2" fillId="0" borderId="33" xfId="1" applyFont="1" applyFill="1" applyBorder="1" applyAlignment="1">
      <alignment horizontal="center" vertical="center" wrapText="1"/>
    </xf>
    <xf numFmtId="9" fontId="2" fillId="0" borderId="34" xfId="1" applyFont="1" applyFill="1" applyBorder="1" applyAlignment="1">
      <alignment horizontal="center" vertical="center" wrapText="1"/>
    </xf>
    <xf numFmtId="9" fontId="2" fillId="6" borderId="32" xfId="1" applyFont="1" applyFill="1" applyBorder="1" applyAlignment="1">
      <alignment horizontal="center" vertical="center" wrapText="1"/>
    </xf>
    <xf numFmtId="9" fontId="2" fillId="6" borderId="33" xfId="1" applyFont="1" applyFill="1" applyBorder="1" applyAlignment="1">
      <alignment horizontal="center" vertical="center" wrapText="1"/>
    </xf>
    <xf numFmtId="9" fontId="2" fillId="0" borderId="35" xfId="1" applyFont="1" applyFill="1" applyBorder="1" applyAlignment="1">
      <alignment horizontal="center" vertical="center" wrapText="1"/>
    </xf>
    <xf numFmtId="9" fontId="2" fillId="0" borderId="40" xfId="1" applyFont="1" applyFill="1" applyBorder="1" applyAlignment="1">
      <alignment horizontal="center" vertical="center" wrapText="1"/>
    </xf>
    <xf numFmtId="9" fontId="2" fillId="0" borderId="41" xfId="1" applyFont="1" applyFill="1" applyBorder="1" applyAlignment="1">
      <alignment horizontal="center" vertical="center" wrapText="1"/>
    </xf>
    <xf numFmtId="9" fontId="2" fillId="6" borderId="39" xfId="1" applyFont="1" applyFill="1" applyBorder="1" applyAlignment="1">
      <alignment horizontal="center" vertical="center" wrapText="1"/>
    </xf>
    <xf numFmtId="9" fontId="2" fillId="6" borderId="40" xfId="1" applyFont="1" applyFill="1" applyBorder="1" applyAlignment="1">
      <alignment horizontal="center" vertical="center" wrapText="1"/>
    </xf>
    <xf numFmtId="9" fontId="2" fillId="0" borderId="42" xfId="1" applyFont="1" applyFill="1" applyBorder="1" applyAlignment="1">
      <alignment horizontal="center" vertical="center" wrapText="1"/>
    </xf>
    <xf numFmtId="9" fontId="2" fillId="0" borderId="25" xfId="1" applyFont="1" applyFill="1" applyBorder="1" applyAlignment="1">
      <alignment horizontal="center" vertical="center" wrapText="1"/>
    </xf>
    <xf numFmtId="9" fontId="2" fillId="0" borderId="26" xfId="1" applyFont="1" applyFill="1" applyBorder="1" applyAlignment="1">
      <alignment horizontal="center" vertical="center" wrapText="1"/>
    </xf>
    <xf numFmtId="9" fontId="2" fillId="6" borderId="24" xfId="1" applyFont="1" applyFill="1" applyBorder="1" applyAlignment="1">
      <alignment horizontal="center" vertical="center" wrapText="1"/>
    </xf>
    <xf numFmtId="9" fontId="2" fillId="6" borderId="25" xfId="1" applyFont="1" applyFill="1" applyBorder="1" applyAlignment="1">
      <alignment horizontal="center" vertical="center" wrapText="1"/>
    </xf>
    <xf numFmtId="9" fontId="2" fillId="0" borderId="47" xfId="1" applyFont="1" applyFill="1" applyBorder="1" applyAlignment="1">
      <alignment horizontal="center" vertical="center" wrapText="1"/>
    </xf>
    <xf numFmtId="9" fontId="2" fillId="0" borderId="61" xfId="1" applyFont="1" applyFill="1" applyBorder="1" applyAlignment="1">
      <alignment horizontal="center" vertical="center" wrapText="1"/>
    </xf>
    <xf numFmtId="9" fontId="2" fillId="0" borderId="62" xfId="1" applyFont="1" applyFill="1" applyBorder="1" applyAlignment="1">
      <alignment horizontal="center" vertical="center" wrapText="1"/>
    </xf>
    <xf numFmtId="9" fontId="2" fillId="6" borderId="68" xfId="1" applyFont="1" applyFill="1" applyBorder="1" applyAlignment="1">
      <alignment horizontal="center" vertical="center" wrapText="1"/>
    </xf>
    <xf numFmtId="9" fontId="2" fillId="6" borderId="61" xfId="1" applyFont="1" applyFill="1" applyBorder="1" applyAlignment="1">
      <alignment horizontal="center" vertical="center" wrapText="1"/>
    </xf>
    <xf numFmtId="9" fontId="2" fillId="0" borderId="70" xfId="1" applyFont="1" applyFill="1" applyBorder="1" applyAlignment="1">
      <alignment horizontal="center" vertical="center" wrapText="1"/>
    </xf>
    <xf numFmtId="9" fontId="2" fillId="0" borderId="17" xfId="1" applyFont="1" applyFill="1" applyBorder="1" applyAlignment="1">
      <alignment horizontal="center" vertical="center" wrapText="1"/>
    </xf>
    <xf numFmtId="9" fontId="2" fillId="0" borderId="18" xfId="1" applyFont="1" applyFill="1" applyBorder="1" applyAlignment="1">
      <alignment horizontal="center" vertical="center" wrapText="1"/>
    </xf>
    <xf numFmtId="9" fontId="2" fillId="6" borderId="16" xfId="1" applyFont="1" applyFill="1" applyBorder="1" applyAlignment="1">
      <alignment horizontal="center" vertical="center" wrapText="1"/>
    </xf>
    <xf numFmtId="9" fontId="2" fillId="6" borderId="17" xfId="1" applyFont="1" applyFill="1" applyBorder="1" applyAlignment="1">
      <alignment horizontal="center" vertical="center" wrapText="1"/>
    </xf>
    <xf numFmtId="9" fontId="2" fillId="0" borderId="19" xfId="1" applyFont="1" applyFill="1" applyBorder="1" applyAlignment="1">
      <alignment horizontal="center" vertical="center" wrapText="1"/>
    </xf>
    <xf numFmtId="10" fontId="2" fillId="0" borderId="17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16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9" fontId="2" fillId="0" borderId="21" xfId="1" applyFont="1" applyFill="1" applyBorder="1" applyAlignment="1">
      <alignment horizontal="center" vertical="center" wrapText="1"/>
    </xf>
    <xf numFmtId="9" fontId="2" fillId="0" borderId="22" xfId="1" applyFont="1" applyFill="1" applyBorder="1" applyAlignment="1">
      <alignment horizontal="center" vertical="center" wrapText="1"/>
    </xf>
    <xf numFmtId="9" fontId="2" fillId="6" borderId="20" xfId="1" applyFont="1" applyFill="1" applyBorder="1" applyAlignment="1">
      <alignment horizontal="center" vertical="center" wrapText="1"/>
    </xf>
    <xf numFmtId="9" fontId="2" fillId="6" borderId="21" xfId="1" applyFont="1" applyFill="1" applyBorder="1" applyAlignment="1">
      <alignment horizontal="center" vertical="center" wrapText="1"/>
    </xf>
    <xf numFmtId="9" fontId="2" fillId="0" borderId="23" xfId="1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10" fontId="0" fillId="0" borderId="0" xfId="0" applyNumberFormat="1"/>
    <xf numFmtId="3" fontId="0" fillId="0" borderId="89" xfId="0" applyNumberFormat="1" applyFont="1" applyBorder="1" applyAlignment="1">
      <alignment horizontal="center" vertical="center" wrapText="1"/>
    </xf>
    <xf numFmtId="3" fontId="0" fillId="0" borderId="87" xfId="0" applyNumberFormat="1" applyFont="1" applyBorder="1" applyAlignment="1">
      <alignment horizontal="center" vertical="center" wrapText="1"/>
    </xf>
    <xf numFmtId="9" fontId="0" fillId="0" borderId="85" xfId="0" applyNumberFormat="1" applyFont="1" applyBorder="1" applyAlignment="1">
      <alignment horizontal="center" vertical="center"/>
    </xf>
    <xf numFmtId="9" fontId="0" fillId="0" borderId="33" xfId="0" applyNumberFormat="1" applyFont="1" applyBorder="1" applyAlignment="1">
      <alignment horizontal="center" vertical="center"/>
    </xf>
    <xf numFmtId="10" fontId="2" fillId="0" borderId="33" xfId="1" applyNumberFormat="1" applyFont="1" applyBorder="1" applyAlignment="1">
      <alignment horizontal="center" vertical="center"/>
    </xf>
    <xf numFmtId="10" fontId="2" fillId="0" borderId="81" xfId="1" applyNumberFormat="1" applyFont="1" applyBorder="1" applyAlignment="1">
      <alignment horizontal="center" vertical="center"/>
    </xf>
    <xf numFmtId="10" fontId="2" fillId="0" borderId="85" xfId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10" fontId="2" fillId="0" borderId="4" xfId="1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10" fontId="2" fillId="0" borderId="166" xfId="1" applyNumberFormat="1" applyFont="1" applyBorder="1" applyAlignment="1">
      <alignment horizontal="center" vertical="center"/>
    </xf>
    <xf numFmtId="10" fontId="2" fillId="0" borderId="165" xfId="1" applyNumberFormat="1" applyFont="1" applyBorder="1" applyAlignment="1">
      <alignment horizontal="center" vertical="center"/>
    </xf>
    <xf numFmtId="10" fontId="0" fillId="0" borderId="85" xfId="1" applyNumberFormat="1" applyFont="1" applyBorder="1" applyAlignment="1">
      <alignment horizontal="center" vertical="center"/>
    </xf>
    <xf numFmtId="10" fontId="2" fillId="0" borderId="86" xfId="1" applyNumberFormat="1" applyFont="1" applyBorder="1" applyAlignment="1">
      <alignment horizontal="center" vertical="center"/>
    </xf>
    <xf numFmtId="164" fontId="46" fillId="0" borderId="85" xfId="1" applyNumberFormat="1" applyFont="1" applyFill="1" applyBorder="1" applyAlignment="1">
      <alignment horizontal="center" vertical="center" wrapText="1"/>
    </xf>
    <xf numFmtId="164" fontId="46" fillId="0" borderId="94" xfId="1" applyNumberFormat="1" applyFont="1" applyFill="1" applyBorder="1" applyAlignment="1">
      <alignment horizontal="center" vertical="center" wrapText="1"/>
    </xf>
    <xf numFmtId="164" fontId="46" fillId="13" borderId="138" xfId="1" applyNumberFormat="1" applyFont="1" applyFill="1" applyBorder="1" applyAlignment="1">
      <alignment horizontal="center" vertical="center" wrapText="1"/>
    </xf>
    <xf numFmtId="164" fontId="46" fillId="13" borderId="85" xfId="1" applyNumberFormat="1" applyFont="1" applyFill="1" applyBorder="1" applyAlignment="1">
      <alignment horizontal="center" vertical="center" wrapText="1"/>
    </xf>
    <xf numFmtId="164" fontId="46" fillId="0" borderId="33" xfId="1" applyNumberFormat="1" applyFont="1" applyFill="1" applyBorder="1" applyAlignment="1">
      <alignment horizontal="center" vertical="center" wrapText="1"/>
    </xf>
    <xf numFmtId="164" fontId="46" fillId="0" borderId="35" xfId="1" applyNumberFormat="1" applyFont="1" applyFill="1" applyBorder="1" applyAlignment="1">
      <alignment horizontal="center" vertical="center" wrapText="1"/>
    </xf>
    <xf numFmtId="164" fontId="46" fillId="6" borderId="71" xfId="1" applyNumberFormat="1" applyFont="1" applyFill="1" applyBorder="1" applyAlignment="1">
      <alignment horizontal="center" vertical="center" wrapText="1"/>
    </xf>
    <xf numFmtId="164" fontId="46" fillId="13" borderId="36" xfId="1" applyNumberFormat="1" applyFont="1" applyFill="1" applyBorder="1" applyAlignment="1">
      <alignment horizontal="center" vertical="center" wrapText="1"/>
    </xf>
    <xf numFmtId="164" fontId="46" fillId="6" borderId="31" xfId="1" applyNumberFormat="1" applyFont="1" applyFill="1" applyBorder="1" applyAlignment="1">
      <alignment horizontal="center" vertical="center" wrapText="1"/>
    </xf>
    <xf numFmtId="164" fontId="46" fillId="6" borderId="36" xfId="1" applyNumberFormat="1" applyFont="1" applyFill="1" applyBorder="1" applyAlignment="1">
      <alignment horizontal="center" vertical="center" wrapText="1"/>
    </xf>
    <xf numFmtId="164" fontId="46" fillId="0" borderId="40" xfId="1" applyNumberFormat="1" applyFont="1" applyFill="1" applyBorder="1" applyAlignment="1">
      <alignment horizontal="center" vertical="center" wrapText="1"/>
    </xf>
    <xf numFmtId="164" fontId="46" fillId="0" borderId="42" xfId="1" applyNumberFormat="1" applyFont="1" applyFill="1" applyBorder="1" applyAlignment="1">
      <alignment horizontal="center" vertical="center" wrapText="1"/>
    </xf>
    <xf numFmtId="164" fontId="46" fillId="6" borderId="15" xfId="1" applyNumberFormat="1" applyFont="1" applyFill="1" applyBorder="1" applyAlignment="1">
      <alignment horizontal="center" vertical="center" wrapText="1"/>
    </xf>
    <xf numFmtId="164" fontId="46" fillId="6" borderId="43" xfId="1" applyNumberFormat="1" applyFont="1" applyFill="1" applyBorder="1" applyAlignment="1">
      <alignment horizontal="center" vertical="center" wrapText="1"/>
    </xf>
    <xf numFmtId="164" fontId="46" fillId="0" borderId="21" xfId="0" applyNumberFormat="1" applyFont="1" applyFill="1" applyBorder="1" applyAlignment="1">
      <alignment horizontal="center" vertical="center" wrapText="1"/>
    </xf>
    <xf numFmtId="164" fontId="46" fillId="0" borderId="23" xfId="0" applyNumberFormat="1" applyFont="1" applyFill="1" applyBorder="1" applyAlignment="1">
      <alignment horizontal="center" vertical="center" wrapText="1"/>
    </xf>
    <xf numFmtId="164" fontId="54" fillId="6" borderId="155" xfId="1" applyNumberFormat="1" applyFont="1" applyFill="1" applyBorder="1" applyAlignment="1">
      <alignment horizontal="center" vertical="center"/>
    </xf>
    <xf numFmtId="164" fontId="46" fillId="6" borderId="21" xfId="0" applyNumberFormat="1" applyFont="1" applyFill="1" applyBorder="1" applyAlignment="1">
      <alignment horizontal="center" vertical="center" wrapText="1"/>
    </xf>
    <xf numFmtId="164" fontId="46" fillId="0" borderId="21" xfId="1" applyNumberFormat="1" applyFont="1" applyFill="1" applyBorder="1" applyAlignment="1">
      <alignment horizontal="center" vertical="center" wrapText="1"/>
    </xf>
    <xf numFmtId="164" fontId="46" fillId="0" borderId="33" xfId="0" applyNumberFormat="1" applyFont="1" applyFill="1" applyBorder="1" applyAlignment="1">
      <alignment horizontal="center" vertical="center" wrapText="1"/>
    </xf>
    <xf numFmtId="164" fontId="46" fillId="0" borderId="35" xfId="0" applyNumberFormat="1" applyFont="1" applyFill="1" applyBorder="1" applyAlignment="1">
      <alignment horizontal="center" vertical="center" wrapText="1"/>
    </xf>
    <xf numFmtId="164" fontId="54" fillId="6" borderId="156" xfId="1" applyNumberFormat="1" applyFont="1" applyFill="1" applyBorder="1" applyAlignment="1">
      <alignment horizontal="center" vertical="center"/>
    </xf>
    <xf numFmtId="164" fontId="46" fillId="6" borderId="33" xfId="0" applyNumberFormat="1" applyFont="1" applyFill="1" applyBorder="1" applyAlignment="1">
      <alignment horizontal="center" vertical="center" wrapText="1"/>
    </xf>
    <xf numFmtId="164" fontId="54" fillId="0" borderId="156" xfId="1" applyNumberFormat="1" applyFont="1" applyFill="1" applyBorder="1" applyAlignment="1">
      <alignment horizontal="center" vertical="center"/>
    </xf>
    <xf numFmtId="164" fontId="46" fillId="13" borderId="33" xfId="0" applyNumberFormat="1" applyFont="1" applyFill="1" applyBorder="1" applyAlignment="1">
      <alignment horizontal="center" vertical="center" wrapText="1"/>
    </xf>
    <xf numFmtId="164" fontId="46" fillId="0" borderId="55" xfId="0" applyNumberFormat="1" applyFont="1" applyFill="1" applyBorder="1" applyAlignment="1">
      <alignment horizontal="center" vertical="center" wrapText="1"/>
    </xf>
    <xf numFmtId="164" fontId="46" fillId="0" borderId="58" xfId="0" applyNumberFormat="1" applyFont="1" applyFill="1" applyBorder="1" applyAlignment="1">
      <alignment horizontal="center" vertical="center" wrapText="1"/>
    </xf>
    <xf numFmtId="164" fontId="54" fillId="6" borderId="50" xfId="1" applyNumberFormat="1" applyFont="1" applyFill="1" applyBorder="1" applyAlignment="1">
      <alignment horizontal="center" vertical="center"/>
    </xf>
    <xf numFmtId="164" fontId="46" fillId="6" borderId="55" xfId="0" applyNumberFormat="1" applyFont="1" applyFill="1" applyBorder="1" applyAlignment="1">
      <alignment horizontal="center" vertical="center" wrapText="1"/>
    </xf>
    <xf numFmtId="164" fontId="46" fillId="0" borderId="25" xfId="0" applyNumberFormat="1" applyFont="1" applyFill="1" applyBorder="1" applyAlignment="1">
      <alignment horizontal="center" vertical="center" wrapText="1"/>
    </xf>
    <xf numFmtId="164" fontId="46" fillId="0" borderId="47" xfId="0" applyNumberFormat="1" applyFont="1" applyFill="1" applyBorder="1" applyAlignment="1">
      <alignment horizontal="center" vertical="center" wrapText="1"/>
    </xf>
    <xf numFmtId="164" fontId="46" fillId="6" borderId="2" xfId="1" applyNumberFormat="1" applyFont="1" applyFill="1" applyBorder="1" applyAlignment="1">
      <alignment horizontal="center" vertical="center" wrapText="1"/>
    </xf>
    <xf numFmtId="164" fontId="46" fillId="13" borderId="25" xfId="0" applyNumberFormat="1" applyFont="1" applyFill="1" applyBorder="1" applyAlignment="1">
      <alignment horizontal="center" vertical="center" wrapText="1"/>
    </xf>
    <xf numFmtId="164" fontId="46" fillId="0" borderId="25" xfId="1" applyNumberFormat="1" applyFont="1" applyFill="1" applyBorder="1" applyAlignment="1">
      <alignment horizontal="center" vertical="center" wrapText="1"/>
    </xf>
    <xf numFmtId="164" fontId="46" fillId="0" borderId="31" xfId="1" applyNumberFormat="1" applyFont="1" applyFill="1" applyBorder="1" applyAlignment="1">
      <alignment horizontal="center" vertical="center" wrapText="1"/>
    </xf>
    <xf numFmtId="164" fontId="46" fillId="0" borderId="40" xfId="0" applyNumberFormat="1" applyFont="1" applyFill="1" applyBorder="1" applyAlignment="1">
      <alignment horizontal="center" vertical="center" wrapText="1"/>
    </xf>
    <xf numFmtId="164" fontId="46" fillId="0" borderId="42" xfId="0" applyNumberFormat="1" applyFont="1" applyFill="1" applyBorder="1" applyAlignment="1">
      <alignment horizontal="center" vertical="center" wrapText="1"/>
    </xf>
    <xf numFmtId="164" fontId="46" fillId="6" borderId="40" xfId="0" applyNumberFormat="1" applyFont="1" applyFill="1" applyBorder="1" applyAlignment="1">
      <alignment horizontal="center" vertical="center" wrapText="1"/>
    </xf>
    <xf numFmtId="164" fontId="46" fillId="0" borderId="23" xfId="1" applyNumberFormat="1" applyFont="1" applyFill="1" applyBorder="1" applyAlignment="1">
      <alignment horizontal="center" vertical="center" wrapText="1"/>
    </xf>
    <xf numFmtId="164" fontId="46" fillId="6" borderId="48" xfId="1" applyNumberFormat="1" applyFont="1" applyFill="1" applyBorder="1" applyAlignment="1">
      <alignment horizontal="center" vertical="center" wrapText="1"/>
    </xf>
    <xf numFmtId="164" fontId="46" fillId="0" borderId="47" xfId="1" applyNumberFormat="1" applyFont="1" applyFill="1" applyBorder="1" applyAlignment="1">
      <alignment horizontal="center" vertical="center" wrapText="1"/>
    </xf>
    <xf numFmtId="10" fontId="46" fillId="6" borderId="2" xfId="1" applyNumberFormat="1" applyFont="1" applyFill="1" applyBorder="1" applyAlignment="1">
      <alignment horizontal="center" vertical="center" wrapText="1"/>
    </xf>
    <xf numFmtId="164" fontId="46" fillId="6" borderId="25" xfId="1" applyNumberFormat="1" applyFont="1" applyFill="1" applyBorder="1" applyAlignment="1">
      <alignment horizontal="center" vertical="center" wrapText="1"/>
    </xf>
    <xf numFmtId="10" fontId="46" fillId="6" borderId="31" xfId="1" applyNumberFormat="1" applyFont="1" applyFill="1" applyBorder="1" applyAlignment="1">
      <alignment horizontal="center" vertical="center" wrapText="1"/>
    </xf>
    <xf numFmtId="164" fontId="46" fillId="6" borderId="21" xfId="1" applyNumberFormat="1" applyFont="1" applyFill="1" applyBorder="1" applyAlignment="1">
      <alignment horizontal="center" vertical="center" wrapText="1"/>
    </xf>
    <xf numFmtId="10" fontId="46" fillId="13" borderId="31" xfId="1" applyNumberFormat="1" applyFont="1" applyFill="1" applyBorder="1" applyAlignment="1">
      <alignment horizontal="center" vertical="center" wrapText="1"/>
    </xf>
    <xf numFmtId="164" fontId="46" fillId="0" borderId="36" xfId="1" applyNumberFormat="1" applyFont="1" applyFill="1" applyBorder="1" applyAlignment="1">
      <alignment horizontal="center" vertical="center" wrapText="1"/>
    </xf>
    <xf numFmtId="164" fontId="46" fillId="13" borderId="33" xfId="1" applyNumberFormat="1" applyFont="1" applyFill="1" applyBorder="1" applyAlignment="1">
      <alignment horizontal="center" vertical="center" wrapText="1"/>
    </xf>
    <xf numFmtId="164" fontId="46" fillId="6" borderId="33" xfId="1" applyNumberFormat="1" applyFont="1" applyFill="1" applyBorder="1" applyAlignment="1">
      <alignment horizontal="center" vertical="center" wrapText="1"/>
    </xf>
    <xf numFmtId="164" fontId="46" fillId="13" borderId="25" xfId="1" applyNumberFormat="1" applyFont="1" applyFill="1" applyBorder="1" applyAlignment="1">
      <alignment horizontal="center" vertical="center" wrapText="1"/>
    </xf>
    <xf numFmtId="164" fontId="46" fillId="13" borderId="40" xfId="1" applyNumberFormat="1" applyFont="1" applyFill="1" applyBorder="1" applyAlignment="1">
      <alignment horizontal="center" vertical="center" wrapText="1"/>
    </xf>
    <xf numFmtId="9" fontId="29" fillId="6" borderId="0" xfId="1" applyFont="1" applyFill="1"/>
    <xf numFmtId="9" fontId="29" fillId="9" borderId="0" xfId="1" applyFont="1" applyFill="1"/>
    <xf numFmtId="9" fontId="29" fillId="13" borderId="0" xfId="1" applyFont="1" applyFill="1"/>
    <xf numFmtId="9" fontId="29" fillId="0" borderId="0" xfId="1" applyFont="1"/>
    <xf numFmtId="10" fontId="2" fillId="0" borderId="33" xfId="1" applyNumberFormat="1" applyFont="1" applyFill="1" applyBorder="1" applyAlignment="1">
      <alignment horizontal="center" vertical="center"/>
    </xf>
    <xf numFmtId="9" fontId="0" fillId="0" borderId="33" xfId="0" applyNumberFormat="1" applyFont="1" applyFill="1" applyBorder="1" applyAlignment="1">
      <alignment horizontal="center" vertical="center"/>
    </xf>
    <xf numFmtId="164" fontId="5" fillId="2" borderId="85" xfId="1" applyNumberFormat="1" applyFont="1" applyFill="1" applyBorder="1" applyAlignment="1">
      <alignment horizontal="center" vertical="center" wrapText="1"/>
    </xf>
    <xf numFmtId="164" fontId="39" fillId="2" borderId="85" xfId="1" applyNumberFormat="1" applyFont="1" applyFill="1" applyBorder="1" applyAlignment="1">
      <alignment horizontal="center" vertical="center" wrapText="1"/>
    </xf>
    <xf numFmtId="164" fontId="39" fillId="6" borderId="85" xfId="1" applyNumberFormat="1" applyFont="1" applyFill="1" applyBorder="1" applyAlignment="1">
      <alignment horizontal="center" vertical="center" wrapText="1"/>
    </xf>
    <xf numFmtId="164" fontId="39" fillId="0" borderId="85" xfId="1" applyNumberFormat="1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justify" vertical="top" wrapText="1"/>
    </xf>
    <xf numFmtId="164" fontId="5" fillId="2" borderId="91" xfId="1" applyNumberFormat="1" applyFont="1" applyFill="1" applyBorder="1" applyAlignment="1">
      <alignment horizontal="center" vertical="center" wrapText="1"/>
    </xf>
    <xf numFmtId="164" fontId="39" fillId="10" borderId="91" xfId="1" applyNumberFormat="1" applyFont="1" applyFill="1" applyBorder="1" applyAlignment="1">
      <alignment horizontal="center" vertical="center" wrapText="1"/>
    </xf>
    <xf numFmtId="164" fontId="39" fillId="13" borderId="91" xfId="1" applyNumberFormat="1" applyFont="1" applyFill="1" applyBorder="1" applyAlignment="1">
      <alignment horizontal="center" vertical="center" wrapText="1"/>
    </xf>
    <xf numFmtId="164" fontId="39" fillId="0" borderId="91" xfId="1" applyNumberFormat="1" applyFont="1" applyFill="1" applyBorder="1" applyAlignment="1">
      <alignment horizontal="center" vertical="center" wrapText="1"/>
    </xf>
    <xf numFmtId="10" fontId="0" fillId="0" borderId="13" xfId="1" applyNumberFormat="1" applyFont="1" applyBorder="1" applyAlignment="1">
      <alignment horizontal="center" vertical="center"/>
    </xf>
    <xf numFmtId="10" fontId="50" fillId="3" borderId="179" xfId="1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 wrapText="1" readingOrder="1"/>
    </xf>
    <xf numFmtId="3" fontId="4" fillId="0" borderId="16" xfId="0" applyNumberFormat="1" applyFont="1" applyBorder="1" applyAlignment="1">
      <alignment horizontal="center" vertical="center" wrapText="1"/>
    </xf>
    <xf numFmtId="10" fontId="2" fillId="0" borderId="13" xfId="1" applyNumberFormat="1" applyFont="1" applyBorder="1" applyAlignment="1">
      <alignment horizontal="center" vertical="center"/>
    </xf>
    <xf numFmtId="0" fontId="49" fillId="15" borderId="16" xfId="0" applyFont="1" applyFill="1" applyBorder="1" applyAlignment="1">
      <alignment horizontal="center" vertical="center"/>
    </xf>
    <xf numFmtId="9" fontId="49" fillId="15" borderId="17" xfId="0" applyNumberFormat="1" applyFont="1" applyFill="1" applyBorder="1" applyAlignment="1">
      <alignment horizontal="center" vertical="center"/>
    </xf>
    <xf numFmtId="0" fontId="49" fillId="15" borderId="17" xfId="0" applyFont="1" applyFill="1" applyBorder="1" applyAlignment="1">
      <alignment horizontal="center" vertical="center"/>
    </xf>
    <xf numFmtId="10" fontId="49" fillId="15" borderId="17" xfId="1" applyNumberFormat="1" applyFont="1" applyFill="1" applyBorder="1" applyAlignment="1">
      <alignment horizontal="center" vertical="center"/>
    </xf>
    <xf numFmtId="10" fontId="49" fillId="15" borderId="116" xfId="1" applyNumberFormat="1" applyFont="1" applyFill="1" applyBorder="1" applyAlignment="1">
      <alignment horizontal="center" vertical="center"/>
    </xf>
    <xf numFmtId="10" fontId="49" fillId="15" borderId="169" xfId="1" applyNumberFormat="1" applyFont="1" applyFill="1" applyBorder="1" applyAlignment="1">
      <alignment horizontal="center" vertical="center"/>
    </xf>
    <xf numFmtId="10" fontId="49" fillId="15" borderId="13" xfId="1" applyNumberFormat="1" applyFont="1" applyFill="1" applyBorder="1" applyAlignment="1">
      <alignment horizontal="center" vertical="center"/>
    </xf>
    <xf numFmtId="164" fontId="46" fillId="6" borderId="40" xfId="1" applyNumberFormat="1" applyFont="1" applyFill="1" applyBorder="1" applyAlignment="1">
      <alignment horizontal="center" vertical="center" wrapText="1"/>
    </xf>
    <xf numFmtId="164" fontId="46" fillId="6" borderId="55" xfId="1" applyNumberFormat="1" applyFont="1" applyFill="1" applyBorder="1" applyAlignment="1">
      <alignment horizontal="center" vertical="center" wrapText="1"/>
    </xf>
    <xf numFmtId="10" fontId="26" fillId="15" borderId="92" xfId="1" applyNumberFormat="1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justify" vertical="top" wrapText="1"/>
    </xf>
    <xf numFmtId="164" fontId="28" fillId="0" borderId="54" xfId="1" applyNumberFormat="1" applyFont="1" applyFill="1" applyBorder="1" applyAlignment="1">
      <alignment horizontal="center" vertical="center" wrapText="1"/>
    </xf>
    <xf numFmtId="164" fontId="28" fillId="0" borderId="55" xfId="1" applyNumberFormat="1" applyFont="1" applyFill="1" applyBorder="1" applyAlignment="1">
      <alignment horizontal="center" vertical="center" wrapText="1"/>
    </xf>
    <xf numFmtId="164" fontId="46" fillId="0" borderId="55" xfId="1" applyNumberFormat="1" applyFont="1" applyFill="1" applyBorder="1" applyAlignment="1">
      <alignment horizontal="center" vertical="center" wrapText="1"/>
    </xf>
    <xf numFmtId="164" fontId="46" fillId="0" borderId="58" xfId="1" applyNumberFormat="1" applyFont="1" applyFill="1" applyBorder="1" applyAlignment="1">
      <alignment horizontal="center" vertical="center" wrapText="1"/>
    </xf>
    <xf numFmtId="164" fontId="46" fillId="0" borderId="67" xfId="1" applyNumberFormat="1" applyFont="1" applyFill="1" applyBorder="1" applyAlignment="1">
      <alignment horizontal="center" vertical="center" wrapText="1"/>
    </xf>
    <xf numFmtId="164" fontId="46" fillId="0" borderId="57" xfId="1" applyNumberFormat="1" applyFont="1" applyFill="1" applyBorder="1" applyAlignment="1">
      <alignment horizontal="center" vertical="center" wrapText="1"/>
    </xf>
    <xf numFmtId="164" fontId="46" fillId="13" borderId="55" xfId="1" applyNumberFormat="1" applyFont="1" applyFill="1" applyBorder="1" applyAlignment="1">
      <alignment horizontal="center" vertical="center" wrapText="1"/>
    </xf>
    <xf numFmtId="0" fontId="55" fillId="15" borderId="129" xfId="0" applyFont="1" applyFill="1" applyBorder="1" applyAlignment="1">
      <alignment vertical="center"/>
    </xf>
    <xf numFmtId="9" fontId="55" fillId="15" borderId="130" xfId="0" applyNumberFormat="1" applyFont="1" applyFill="1" applyBorder="1" applyAlignment="1">
      <alignment horizontal="center" vertical="center"/>
    </xf>
    <xf numFmtId="0" fontId="55" fillId="15" borderId="131" xfId="0" applyFont="1" applyFill="1" applyBorder="1" applyAlignment="1">
      <alignment vertical="center"/>
    </xf>
    <xf numFmtId="10" fontId="55" fillId="15" borderId="132" xfId="1" applyNumberFormat="1" applyFont="1" applyFill="1" applyBorder="1" applyAlignment="1">
      <alignment horizontal="center" vertical="center"/>
    </xf>
    <xf numFmtId="10" fontId="55" fillId="15" borderId="130" xfId="1" applyNumberFormat="1" applyFont="1" applyFill="1" applyBorder="1" applyAlignment="1">
      <alignment horizontal="center" vertical="center"/>
    </xf>
    <xf numFmtId="10" fontId="55" fillId="15" borderId="131" xfId="1" applyNumberFormat="1" applyFont="1" applyFill="1" applyBorder="1" applyAlignment="1">
      <alignment horizontal="center" vertical="center"/>
    </xf>
    <xf numFmtId="164" fontId="55" fillId="15" borderId="180" xfId="1" applyNumberFormat="1" applyFont="1" applyFill="1" applyBorder="1" applyAlignment="1">
      <alignment horizontal="center" vertical="center"/>
    </xf>
    <xf numFmtId="164" fontId="55" fillId="15" borderId="181" xfId="1" applyNumberFormat="1" applyFont="1" applyFill="1" applyBorder="1" applyAlignment="1">
      <alignment horizontal="center" vertical="center"/>
    </xf>
    <xf numFmtId="164" fontId="55" fillId="15" borderId="130" xfId="1" applyNumberFormat="1" applyFont="1" applyFill="1" applyBorder="1" applyAlignment="1">
      <alignment horizontal="center" vertical="center"/>
    </xf>
    <xf numFmtId="164" fontId="55" fillId="15" borderId="133" xfId="1" applyNumberFormat="1" applyFont="1" applyFill="1" applyBorder="1" applyAlignment="1">
      <alignment horizontal="center" vertical="center"/>
    </xf>
    <xf numFmtId="10" fontId="55" fillId="15" borderId="133" xfId="1" applyNumberFormat="1" applyFont="1" applyFill="1" applyBorder="1" applyAlignment="1">
      <alignment horizontal="center" vertical="center"/>
    </xf>
    <xf numFmtId="10" fontId="55" fillId="15" borderId="132" xfId="1" applyNumberFormat="1" applyFont="1" applyFill="1" applyBorder="1" applyAlignment="1">
      <alignment vertical="center"/>
    </xf>
    <xf numFmtId="10" fontId="55" fillId="15" borderId="130" xfId="1" applyNumberFormat="1" applyFont="1" applyFill="1" applyBorder="1" applyAlignment="1">
      <alignment vertical="center"/>
    </xf>
    <xf numFmtId="10" fontId="55" fillId="15" borderId="133" xfId="1" applyNumberFormat="1" applyFont="1" applyFill="1" applyBorder="1" applyAlignment="1">
      <alignment vertical="center"/>
    </xf>
    <xf numFmtId="10" fontId="55" fillId="15" borderId="182" xfId="1" applyNumberFormat="1" applyFont="1" applyFill="1" applyBorder="1" applyAlignment="1">
      <alignment horizontal="center" vertical="center"/>
    </xf>
    <xf numFmtId="10" fontId="55" fillId="15" borderId="84" xfId="1" applyNumberFormat="1" applyFont="1" applyFill="1" applyBorder="1" applyAlignment="1">
      <alignment horizontal="center" vertical="center"/>
    </xf>
    <xf numFmtId="10" fontId="55" fillId="11" borderId="84" xfId="1" applyNumberFormat="1" applyFont="1" applyFill="1" applyBorder="1" applyAlignment="1">
      <alignment horizontal="center" vertical="center"/>
    </xf>
    <xf numFmtId="10" fontId="15" fillId="11" borderId="84" xfId="1" applyNumberFormat="1" applyFont="1" applyFill="1" applyBorder="1" applyAlignment="1">
      <alignment horizontal="center" vertical="center"/>
    </xf>
    <xf numFmtId="10" fontId="15" fillId="15" borderId="134" xfId="1" applyNumberFormat="1" applyFont="1" applyFill="1" applyBorder="1" applyAlignment="1">
      <alignment horizontal="center" vertical="center"/>
    </xf>
    <xf numFmtId="10" fontId="6" fillId="15" borderId="171" xfId="1" applyNumberFormat="1" applyFont="1" applyFill="1" applyBorder="1" applyAlignment="1">
      <alignment vertical="center" wrapText="1"/>
    </xf>
    <xf numFmtId="10" fontId="12" fillId="15" borderId="168" xfId="1" applyNumberFormat="1" applyFont="1" applyFill="1" applyBorder="1" applyAlignment="1">
      <alignment horizontal="center" vertical="center"/>
    </xf>
    <xf numFmtId="10" fontId="12" fillId="15" borderId="122" xfId="1" applyNumberFormat="1" applyFont="1" applyFill="1" applyBorder="1" applyAlignment="1">
      <alignment vertical="center" wrapText="1"/>
    </xf>
    <xf numFmtId="10" fontId="12" fillId="15" borderId="120" xfId="1" applyNumberFormat="1" applyFont="1" applyFill="1" applyBorder="1" applyAlignment="1">
      <alignment vertical="center" wrapText="1"/>
    </xf>
    <xf numFmtId="10" fontId="12" fillId="15" borderId="124" xfId="1" applyNumberFormat="1" applyFont="1" applyFill="1" applyBorder="1" applyAlignment="1">
      <alignment horizontal="center" vertical="center" wrapText="1"/>
    </xf>
    <xf numFmtId="10" fontId="12" fillId="15" borderId="3" xfId="1" applyNumberFormat="1" applyFont="1" applyFill="1" applyBorder="1" applyAlignment="1">
      <alignment horizontal="center" vertical="center"/>
    </xf>
    <xf numFmtId="10" fontId="12" fillId="15" borderId="4" xfId="1" applyNumberFormat="1" applyFont="1" applyFill="1" applyBorder="1" applyAlignment="1">
      <alignment horizontal="center" vertical="center"/>
    </xf>
    <xf numFmtId="10" fontId="12" fillId="15" borderId="9" xfId="1" applyNumberFormat="1" applyFont="1" applyFill="1" applyBorder="1" applyAlignment="1">
      <alignment horizontal="center" vertical="center"/>
    </xf>
    <xf numFmtId="10" fontId="12" fillId="15" borderId="5" xfId="1" applyNumberFormat="1" applyFont="1" applyFill="1" applyBorder="1" applyAlignment="1">
      <alignment horizontal="center" vertical="center"/>
    </xf>
    <xf numFmtId="10" fontId="12" fillId="15" borderId="146" xfId="1" applyNumberFormat="1" applyFont="1" applyFill="1" applyBorder="1" applyAlignment="1">
      <alignment horizontal="center" vertical="center"/>
    </xf>
    <xf numFmtId="10" fontId="12" fillId="15" borderId="8" xfId="1" applyNumberFormat="1" applyFont="1" applyFill="1" applyBorder="1" applyAlignment="1">
      <alignment horizontal="center" vertical="center"/>
    </xf>
    <xf numFmtId="10" fontId="12" fillId="15" borderId="141" xfId="1" applyNumberFormat="1" applyFont="1" applyFill="1" applyBorder="1" applyAlignment="1">
      <alignment horizontal="center" vertical="center"/>
    </xf>
    <xf numFmtId="10" fontId="0" fillId="0" borderId="169" xfId="1" applyNumberFormat="1" applyFont="1" applyFill="1" applyBorder="1" applyAlignment="1">
      <alignment horizontal="center" vertical="center" wrapText="1"/>
    </xf>
    <xf numFmtId="10" fontId="15" fillId="11" borderId="164" xfId="1" applyNumberFormat="1" applyFont="1" applyFill="1" applyBorder="1" applyAlignment="1">
      <alignment horizontal="center" vertical="center"/>
    </xf>
    <xf numFmtId="10" fontId="2" fillId="0" borderId="169" xfId="1" applyNumberFormat="1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justify" vertical="top" wrapText="1"/>
    </xf>
    <xf numFmtId="9" fontId="39" fillId="2" borderId="91" xfId="1" applyNumberFormat="1" applyFont="1" applyFill="1" applyBorder="1" applyAlignment="1">
      <alignment horizontal="center" vertical="center" wrapText="1"/>
    </xf>
    <xf numFmtId="9" fontId="39" fillId="6" borderId="91" xfId="1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justify" vertical="top" wrapText="1"/>
    </xf>
    <xf numFmtId="9" fontId="39" fillId="2" borderId="21" xfId="1" applyNumberFormat="1" applyFont="1" applyFill="1" applyBorder="1" applyAlignment="1">
      <alignment horizontal="center" vertical="center" wrapText="1"/>
    </xf>
    <xf numFmtId="10" fontId="15" fillId="11" borderId="173" xfId="1" applyNumberFormat="1" applyFont="1" applyFill="1" applyBorder="1" applyAlignment="1">
      <alignment horizontal="center" vertical="center"/>
    </xf>
    <xf numFmtId="0" fontId="15" fillId="15" borderId="129" xfId="0" applyFont="1" applyFill="1" applyBorder="1" applyAlignment="1">
      <alignment vertical="center"/>
    </xf>
    <xf numFmtId="0" fontId="15" fillId="15" borderId="130" xfId="0" applyFont="1" applyFill="1" applyBorder="1" applyAlignment="1">
      <alignment vertical="center"/>
    </xf>
    <xf numFmtId="10" fontId="15" fillId="15" borderId="84" xfId="1" applyNumberFormat="1" applyFont="1" applyFill="1" applyBorder="1" applyAlignment="1">
      <alignment horizontal="center" vertical="center"/>
    </xf>
    <xf numFmtId="10" fontId="2" fillId="2" borderId="85" xfId="1" applyNumberFormat="1" applyFont="1" applyFill="1" applyBorder="1" applyAlignment="1">
      <alignment horizontal="center" vertical="center" wrapText="1"/>
    </xf>
    <xf numFmtId="10" fontId="2" fillId="2" borderId="33" xfId="1" applyNumberFormat="1" applyFont="1" applyFill="1" applyBorder="1" applyAlignment="1">
      <alignment horizontal="center" vertical="center" wrapText="1"/>
    </xf>
    <xf numFmtId="10" fontId="2" fillId="13" borderId="85" xfId="1" applyNumberFormat="1" applyFont="1" applyFill="1" applyBorder="1" applyAlignment="1">
      <alignment horizontal="center" vertical="center" wrapText="1"/>
    </xf>
    <xf numFmtId="9" fontId="2" fillId="8" borderId="0" xfId="1" applyFont="1" applyFill="1" applyBorder="1"/>
    <xf numFmtId="9" fontId="2" fillId="9" borderId="0" xfId="1" applyFont="1" applyFill="1" applyBorder="1"/>
    <xf numFmtId="9" fontId="2" fillId="10" borderId="0" xfId="1" applyFont="1" applyFill="1" applyBorder="1"/>
    <xf numFmtId="10" fontId="15" fillId="11" borderId="179" xfId="1" applyNumberFormat="1" applyFont="1" applyFill="1" applyBorder="1" applyAlignment="1">
      <alignment horizontal="center" vertical="center"/>
    </xf>
    <xf numFmtId="164" fontId="39" fillId="2" borderId="138" xfId="1" applyNumberFormat="1" applyFont="1" applyFill="1" applyBorder="1" applyAlignment="1">
      <alignment horizontal="center" vertical="center" wrapText="1"/>
    </xf>
    <xf numFmtId="164" fontId="39" fillId="2" borderId="139" xfId="1" applyNumberFormat="1" applyFont="1" applyFill="1" applyBorder="1" applyAlignment="1">
      <alignment horizontal="center" vertical="center" wrapText="1"/>
    </xf>
    <xf numFmtId="164" fontId="39" fillId="6" borderId="138" xfId="1" applyNumberFormat="1" applyFont="1" applyFill="1" applyBorder="1" applyAlignment="1">
      <alignment horizontal="center" vertical="center" wrapText="1"/>
    </xf>
    <xf numFmtId="164" fontId="5" fillId="0" borderId="139" xfId="1" applyNumberFormat="1" applyFont="1" applyFill="1" applyBorder="1" applyAlignment="1">
      <alignment horizontal="center" vertical="center" wrapText="1"/>
    </xf>
    <xf numFmtId="10" fontId="12" fillId="15" borderId="54" xfId="1" applyNumberFormat="1" applyFont="1" applyFill="1" applyBorder="1" applyAlignment="1">
      <alignment horizontal="center" vertical="center"/>
    </xf>
    <xf numFmtId="10" fontId="12" fillId="15" borderId="55" xfId="1" applyNumberFormat="1" applyFont="1" applyFill="1" applyBorder="1" applyAlignment="1">
      <alignment horizontal="center" vertical="center"/>
    </xf>
    <xf numFmtId="10" fontId="12" fillId="15" borderId="56" xfId="1" applyNumberFormat="1" applyFont="1" applyFill="1" applyBorder="1" applyAlignment="1">
      <alignment horizontal="center" vertical="center"/>
    </xf>
    <xf numFmtId="10" fontId="12" fillId="15" borderId="135" xfId="1" applyNumberFormat="1" applyFont="1" applyFill="1" applyBorder="1" applyAlignment="1">
      <alignment horizontal="center" vertical="center"/>
    </xf>
    <xf numFmtId="10" fontId="12" fillId="15" borderId="57" xfId="1" applyNumberFormat="1" applyFont="1" applyFill="1" applyBorder="1" applyAlignment="1">
      <alignment horizontal="center" vertical="center"/>
    </xf>
    <xf numFmtId="10" fontId="12" fillId="15" borderId="125" xfId="1" applyNumberFormat="1" applyFont="1" applyFill="1" applyBorder="1" applyAlignment="1">
      <alignment horizontal="center" vertical="center"/>
    </xf>
    <xf numFmtId="10" fontId="0" fillId="0" borderId="166" xfId="1" applyNumberFormat="1" applyFont="1" applyBorder="1" applyAlignment="1">
      <alignment vertical="center"/>
    </xf>
    <xf numFmtId="10" fontId="38" fillId="11" borderId="48" xfId="1" applyNumberFormat="1" applyFont="1" applyFill="1" applyBorder="1" applyAlignment="1">
      <alignment vertical="center"/>
    </xf>
    <xf numFmtId="10" fontId="39" fillId="13" borderId="91" xfId="0" applyNumberFormat="1" applyFont="1" applyFill="1" applyBorder="1" applyAlignment="1">
      <alignment horizontal="center" vertical="center" wrapText="1"/>
    </xf>
    <xf numFmtId="9" fontId="0" fillId="8" borderId="0" xfId="1" applyFont="1" applyFill="1"/>
    <xf numFmtId="10" fontId="38" fillId="11" borderId="164" xfId="1" applyNumberFormat="1" applyFont="1" applyFill="1" applyBorder="1" applyAlignment="1">
      <alignment horizontal="center" vertical="center"/>
    </xf>
    <xf numFmtId="10" fontId="4" fillId="0" borderId="10" xfId="1" applyNumberFormat="1" applyFont="1" applyBorder="1" applyAlignment="1">
      <alignment horizontal="center" vertical="center"/>
    </xf>
    <xf numFmtId="10" fontId="15" fillId="11" borderId="60" xfId="1" applyNumberFormat="1" applyFont="1" applyFill="1" applyBorder="1" applyAlignment="1">
      <alignment horizontal="center" vertical="center"/>
    </xf>
    <xf numFmtId="10" fontId="42" fillId="0" borderId="175" xfId="1" applyNumberFormat="1" applyFont="1" applyBorder="1" applyAlignment="1">
      <alignment horizontal="center" vertical="center"/>
    </xf>
    <xf numFmtId="9" fontId="39" fillId="0" borderId="85" xfId="0" applyNumberFormat="1" applyFont="1" applyFill="1" applyBorder="1" applyAlignment="1">
      <alignment horizontal="center" vertical="center" wrapText="1"/>
    </xf>
    <xf numFmtId="9" fontId="52" fillId="0" borderId="139" xfId="0" applyNumberFormat="1" applyFont="1" applyFill="1" applyBorder="1" applyAlignment="1">
      <alignment horizontal="center" vertical="center" wrapText="1"/>
    </xf>
    <xf numFmtId="164" fontId="54" fillId="6" borderId="85" xfId="0" applyNumberFormat="1" applyFont="1" applyFill="1" applyBorder="1" applyAlignment="1">
      <alignment horizontal="center" vertical="center" wrapText="1"/>
    </xf>
    <xf numFmtId="9" fontId="52" fillId="0" borderId="33" xfId="0" applyNumberFormat="1" applyFont="1" applyFill="1" applyBorder="1" applyAlignment="1">
      <alignment horizontal="center" vertical="center" wrapText="1"/>
    </xf>
    <xf numFmtId="164" fontId="54" fillId="6" borderId="33" xfId="0" applyNumberFormat="1" applyFont="1" applyFill="1" applyBorder="1" applyAlignment="1">
      <alignment horizontal="center" vertical="center" wrapText="1"/>
    </xf>
    <xf numFmtId="164" fontId="54" fillId="13" borderId="33" xfId="0" applyNumberFormat="1" applyFont="1" applyFill="1" applyBorder="1" applyAlignment="1">
      <alignment horizontal="center" vertical="center" wrapText="1"/>
    </xf>
    <xf numFmtId="10" fontId="39" fillId="13" borderId="33" xfId="0" applyNumberFormat="1" applyFont="1" applyFill="1" applyBorder="1" applyAlignment="1">
      <alignment horizontal="center" vertical="center" wrapText="1"/>
    </xf>
    <xf numFmtId="164" fontId="39" fillId="13" borderId="33" xfId="0" applyNumberFormat="1" applyFont="1" applyFill="1" applyBorder="1" applyAlignment="1">
      <alignment horizontal="center" vertical="center" wrapText="1"/>
    </xf>
    <xf numFmtId="9" fontId="52" fillId="14" borderId="33" xfId="0" applyNumberFormat="1" applyFont="1" applyFill="1" applyBorder="1" applyAlignment="1">
      <alignment horizontal="center" vertical="center" wrapText="1"/>
    </xf>
    <xf numFmtId="164" fontId="54" fillId="14" borderId="33" xfId="0" applyNumberFormat="1" applyFont="1" applyFill="1" applyBorder="1" applyAlignment="1">
      <alignment horizontal="center" vertical="center" wrapText="1"/>
    </xf>
    <xf numFmtId="9" fontId="39" fillId="0" borderId="55" xfId="0" applyNumberFormat="1" applyFont="1" applyFill="1" applyBorder="1" applyAlignment="1">
      <alignment horizontal="center" vertical="center" wrapText="1"/>
    </xf>
    <xf numFmtId="9" fontId="52" fillId="8" borderId="55" xfId="0" applyNumberFormat="1" applyFont="1" applyFill="1" applyBorder="1" applyAlignment="1">
      <alignment horizontal="center" vertical="center" wrapText="1"/>
    </xf>
    <xf numFmtId="9" fontId="52" fillId="0" borderId="40" xfId="0" applyNumberFormat="1" applyFont="1" applyFill="1" applyBorder="1" applyAlignment="1">
      <alignment horizontal="center" vertical="center" wrapText="1"/>
    </xf>
    <xf numFmtId="9" fontId="39" fillId="0" borderId="25" xfId="1" applyFont="1" applyFill="1" applyBorder="1" applyAlignment="1">
      <alignment horizontal="center" vertical="center" wrapText="1"/>
    </xf>
    <xf numFmtId="9" fontId="52" fillId="0" borderId="25" xfId="1" applyFont="1" applyFill="1" applyBorder="1" applyAlignment="1">
      <alignment horizontal="center" vertical="center" wrapText="1"/>
    </xf>
    <xf numFmtId="10" fontId="39" fillId="0" borderId="24" xfId="0" applyNumberFormat="1" applyFont="1" applyFill="1" applyBorder="1" applyAlignment="1">
      <alignment horizontal="center" vertical="center" wrapText="1"/>
    </xf>
    <xf numFmtId="9" fontId="52" fillId="0" borderId="25" xfId="0" applyNumberFormat="1" applyFont="1" applyFill="1" applyBorder="1" applyAlignment="1">
      <alignment horizontal="center" vertical="center" wrapText="1"/>
    </xf>
    <xf numFmtId="164" fontId="54" fillId="0" borderId="33" xfId="0" applyNumberFormat="1" applyFont="1" applyFill="1" applyBorder="1" applyAlignment="1">
      <alignment horizontal="center" vertical="center" wrapText="1"/>
    </xf>
    <xf numFmtId="9" fontId="56" fillId="0" borderId="40" xfId="0" applyNumberFormat="1" applyFont="1" applyFill="1" applyBorder="1" applyAlignment="1">
      <alignment horizontal="center" vertical="center" wrapText="1"/>
    </xf>
    <xf numFmtId="9" fontId="57" fillId="0" borderId="40" xfId="0" applyNumberFormat="1" applyFont="1" applyFill="1" applyBorder="1" applyAlignment="1">
      <alignment horizontal="center" vertical="center" wrapText="1"/>
    </xf>
    <xf numFmtId="9" fontId="56" fillId="0" borderId="25" xfId="0" applyNumberFormat="1" applyFont="1" applyFill="1" applyBorder="1" applyAlignment="1">
      <alignment horizontal="center" vertical="center" wrapText="1"/>
    </xf>
    <xf numFmtId="9" fontId="57" fillId="0" borderId="25" xfId="0" applyNumberFormat="1" applyFont="1" applyFill="1" applyBorder="1" applyAlignment="1">
      <alignment horizontal="center" vertical="center" wrapText="1"/>
    </xf>
    <xf numFmtId="164" fontId="58" fillId="13" borderId="33" xfId="0" applyNumberFormat="1" applyFont="1" applyFill="1" applyBorder="1" applyAlignment="1">
      <alignment horizontal="center" vertical="center" wrapText="1"/>
    </xf>
    <xf numFmtId="10" fontId="39" fillId="13" borderId="25" xfId="0" applyNumberFormat="1" applyFont="1" applyFill="1" applyBorder="1" applyAlignment="1">
      <alignment horizontal="center" vertical="center" wrapText="1"/>
    </xf>
    <xf numFmtId="9" fontId="56" fillId="0" borderId="33" xfId="0" applyNumberFormat="1" applyFont="1" applyFill="1" applyBorder="1" applyAlignment="1">
      <alignment horizontal="center" vertical="center" wrapText="1"/>
    </xf>
    <xf numFmtId="9" fontId="57" fillId="0" borderId="33" xfId="0" applyNumberFormat="1" applyFont="1" applyFill="1" applyBorder="1" applyAlignment="1">
      <alignment horizontal="center" vertical="center" wrapText="1"/>
    </xf>
    <xf numFmtId="164" fontId="39" fillId="13" borderId="40" xfId="0" applyNumberFormat="1" applyFont="1" applyFill="1" applyBorder="1" applyAlignment="1">
      <alignment horizontal="center" vertical="center" wrapText="1"/>
    </xf>
    <xf numFmtId="164" fontId="58" fillId="6" borderId="33" xfId="0" applyNumberFormat="1" applyFont="1" applyFill="1" applyBorder="1" applyAlignment="1">
      <alignment horizontal="center" vertical="center" wrapText="1"/>
    </xf>
    <xf numFmtId="164" fontId="58" fillId="0" borderId="33" xfId="0" applyNumberFormat="1" applyFont="1" applyFill="1" applyBorder="1" applyAlignment="1">
      <alignment horizontal="center" vertical="center" wrapText="1"/>
    </xf>
    <xf numFmtId="10" fontId="39" fillId="6" borderId="24" xfId="0" applyNumberFormat="1" applyFont="1" applyFill="1" applyBorder="1" applyAlignment="1">
      <alignment horizontal="center" vertical="center" wrapText="1"/>
    </xf>
    <xf numFmtId="9" fontId="57" fillId="9" borderId="33" xfId="0" applyNumberFormat="1" applyFont="1" applyFill="1" applyBorder="1" applyAlignment="1">
      <alignment horizontal="center" vertical="center" wrapText="1"/>
    </xf>
    <xf numFmtId="10" fontId="39" fillId="0" borderId="32" xfId="0" applyNumberFormat="1" applyFont="1" applyFill="1" applyBorder="1" applyAlignment="1">
      <alignment horizontal="center" vertical="center" wrapText="1"/>
    </xf>
    <xf numFmtId="10" fontId="39" fillId="0" borderId="39" xfId="0" applyNumberFormat="1" applyFont="1" applyFill="1" applyBorder="1" applyAlignment="1">
      <alignment horizontal="center" vertical="center" wrapText="1"/>
    </xf>
    <xf numFmtId="9" fontId="39" fillId="0" borderId="21" xfId="0" applyNumberFormat="1" applyFont="1" applyFill="1" applyBorder="1" applyAlignment="1">
      <alignment horizontal="center" vertical="center" wrapText="1"/>
    </xf>
    <xf numFmtId="9" fontId="52" fillId="0" borderId="21" xfId="0" applyNumberFormat="1" applyFont="1" applyFill="1" applyBorder="1" applyAlignment="1">
      <alignment horizontal="center" vertical="center" wrapText="1"/>
    </xf>
    <xf numFmtId="10" fontId="39" fillId="0" borderId="20" xfId="0" applyNumberFormat="1" applyFont="1" applyFill="1" applyBorder="1" applyAlignment="1">
      <alignment horizontal="center" vertical="center" wrapText="1"/>
    </xf>
    <xf numFmtId="10" fontId="39" fillId="0" borderId="21" xfId="0" applyNumberFormat="1" applyFont="1" applyFill="1" applyBorder="1" applyAlignment="1">
      <alignment horizontal="center" vertical="center" wrapText="1"/>
    </xf>
    <xf numFmtId="10" fontId="39" fillId="6" borderId="32" xfId="0" applyNumberFormat="1" applyFont="1" applyFill="1" applyBorder="1" applyAlignment="1">
      <alignment horizontal="center" vertical="center" wrapText="1"/>
    </xf>
    <xf numFmtId="9" fontId="0" fillId="6" borderId="0" xfId="1" applyFont="1" applyFill="1" applyAlignment="1">
      <alignment horizontal="center" vertical="center"/>
    </xf>
    <xf numFmtId="9" fontId="0" fillId="9" borderId="0" xfId="1" applyFont="1" applyFill="1" applyAlignment="1">
      <alignment horizontal="center" vertical="center"/>
    </xf>
    <xf numFmtId="9" fontId="0" fillId="13" borderId="0" xfId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39" fillId="6" borderId="85" xfId="0" applyNumberFormat="1" applyFont="1" applyFill="1" applyBorder="1" applyAlignment="1">
      <alignment horizontal="center" vertical="center" wrapText="1"/>
    </xf>
    <xf numFmtId="164" fontId="39" fillId="6" borderId="33" xfId="0" applyNumberFormat="1" applyFont="1" applyFill="1" applyBorder="1" applyAlignment="1">
      <alignment horizontal="center" vertical="center" wrapText="1"/>
    </xf>
    <xf numFmtId="164" fontId="39" fillId="6" borderId="55" xfId="0" applyNumberFormat="1" applyFont="1" applyFill="1" applyBorder="1" applyAlignment="1">
      <alignment horizontal="center" vertical="center" wrapText="1"/>
    </xf>
    <xf numFmtId="164" fontId="39" fillId="6" borderId="40" xfId="0" applyNumberFormat="1" applyFont="1" applyFill="1" applyBorder="1" applyAlignment="1">
      <alignment horizontal="center" vertical="center" wrapText="1"/>
    </xf>
    <xf numFmtId="164" fontId="39" fillId="6" borderId="25" xfId="0" applyNumberFormat="1" applyFont="1" applyFill="1" applyBorder="1" applyAlignment="1">
      <alignment horizontal="center" vertical="center" wrapText="1"/>
    </xf>
    <xf numFmtId="164" fontId="39" fillId="6" borderId="21" xfId="0" applyNumberFormat="1" applyFont="1" applyFill="1" applyBorder="1" applyAlignment="1">
      <alignment horizontal="center" vertical="center" wrapText="1"/>
    </xf>
    <xf numFmtId="1" fontId="0" fillId="6" borderId="0" xfId="1" applyNumberFormat="1" applyFont="1" applyFill="1" applyAlignment="1">
      <alignment horizontal="center" vertical="center"/>
    </xf>
    <xf numFmtId="1" fontId="0" fillId="13" borderId="0" xfId="1" applyNumberFormat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38" fillId="11" borderId="173" xfId="1" applyNumberFormat="1" applyFont="1" applyFill="1" applyBorder="1" applyAlignment="1">
      <alignment horizontal="center" vertical="center"/>
    </xf>
    <xf numFmtId="10" fontId="2" fillId="0" borderId="185" xfId="1" applyNumberFormat="1" applyFont="1" applyBorder="1" applyAlignment="1">
      <alignment horizontal="center" vertical="center"/>
    </xf>
    <xf numFmtId="10" fontId="38" fillId="15" borderId="92" xfId="1" applyNumberFormat="1" applyFont="1" applyFill="1" applyBorder="1" applyAlignment="1">
      <alignment horizontal="center" vertical="center"/>
    </xf>
    <xf numFmtId="9" fontId="39" fillId="6" borderId="25" xfId="0" applyNumberFormat="1" applyFont="1" applyFill="1" applyBorder="1" applyAlignment="1">
      <alignment horizontal="center" vertical="center" wrapText="1"/>
    </xf>
    <xf numFmtId="9" fontId="39" fillId="13" borderId="33" xfId="1" applyNumberFormat="1" applyFont="1" applyFill="1" applyBorder="1" applyAlignment="1">
      <alignment horizontal="center" vertical="center" wrapText="1"/>
    </xf>
    <xf numFmtId="0" fontId="59" fillId="0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/>
    <xf numFmtId="0" fontId="14" fillId="3" borderId="191" xfId="0" applyFont="1" applyFill="1" applyBorder="1" applyAlignment="1"/>
    <xf numFmtId="0" fontId="14" fillId="0" borderId="191" xfId="0" applyFont="1" applyFill="1" applyBorder="1" applyAlignment="1"/>
    <xf numFmtId="0" fontId="14" fillId="3" borderId="191" xfId="0" applyFont="1" applyFill="1" applyBorder="1" applyAlignment="1">
      <alignment vertical="center"/>
    </xf>
    <xf numFmtId="0" fontId="14" fillId="2" borderId="191" xfId="0" applyFont="1" applyFill="1" applyBorder="1" applyAlignment="1">
      <alignment vertical="center"/>
    </xf>
    <xf numFmtId="0" fontId="14" fillId="2" borderId="191" xfId="0" applyFont="1" applyFill="1" applyBorder="1" applyAlignment="1"/>
    <xf numFmtId="0" fontId="14" fillId="2" borderId="192" xfId="0" applyFont="1" applyFill="1" applyBorder="1" applyAlignment="1">
      <alignment vertical="center"/>
    </xf>
    <xf numFmtId="0" fontId="52" fillId="0" borderId="186" xfId="0" applyFont="1" applyFill="1" applyBorder="1" applyAlignment="1">
      <alignment horizontal="center" vertical="center" wrapText="1"/>
    </xf>
    <xf numFmtId="9" fontId="4" fillId="0" borderId="193" xfId="1" applyNumberFormat="1" applyFont="1" applyBorder="1" applyAlignment="1">
      <alignment horizontal="center"/>
    </xf>
    <xf numFmtId="9" fontId="4" fillId="3" borderId="194" xfId="1" applyNumberFormat="1" applyFont="1" applyFill="1" applyBorder="1" applyAlignment="1">
      <alignment horizontal="center"/>
    </xf>
    <xf numFmtId="9" fontId="4" fillId="0" borderId="194" xfId="1" applyNumberFormat="1" applyFont="1" applyBorder="1" applyAlignment="1">
      <alignment horizontal="center"/>
    </xf>
    <xf numFmtId="9" fontId="4" fillId="0" borderId="195" xfId="1" applyNumberFormat="1" applyFont="1" applyBorder="1" applyAlignment="1">
      <alignment horizontal="center"/>
    </xf>
    <xf numFmtId="0" fontId="59" fillId="0" borderId="186" xfId="0" applyFont="1" applyFill="1" applyBorder="1" applyAlignment="1">
      <alignment horizontal="center" vertical="center"/>
    </xf>
    <xf numFmtId="9" fontId="4" fillId="0" borderId="196" xfId="1" applyNumberFormat="1" applyFont="1" applyBorder="1" applyAlignment="1">
      <alignment horizontal="center"/>
    </xf>
    <xf numFmtId="9" fontId="4" fillId="0" borderId="194" xfId="1" applyNumberFormat="1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 vertical="center" wrapText="1"/>
    </xf>
    <xf numFmtId="10" fontId="5" fillId="6" borderId="33" xfId="1" applyNumberFormat="1" applyFont="1" applyFill="1" applyBorder="1" applyAlignment="1">
      <alignment horizontal="center" vertical="center" wrapText="1"/>
    </xf>
    <xf numFmtId="10" fontId="39" fillId="0" borderId="33" xfId="1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10" fontId="5" fillId="13" borderId="33" xfId="1" applyNumberFormat="1" applyFont="1" applyFill="1" applyBorder="1" applyAlignment="1">
      <alignment horizontal="center" vertical="center" wrapText="1"/>
    </xf>
    <xf numFmtId="0" fontId="30" fillId="0" borderId="33" xfId="0" quotePrefix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0" xfId="0" applyBorder="1" applyAlignment="1">
      <alignment horizontal="center" vertical="center"/>
    </xf>
    <xf numFmtId="0" fontId="0" fillId="0" borderId="178" xfId="0" applyBorder="1"/>
    <xf numFmtId="3" fontId="4" fillId="0" borderId="32" xfId="0" applyNumberFormat="1" applyFont="1" applyFill="1" applyBorder="1" applyAlignment="1">
      <alignment vertical="center" wrapText="1"/>
    </xf>
    <xf numFmtId="0" fontId="15" fillId="15" borderId="39" xfId="0" applyFont="1" applyFill="1" applyBorder="1" applyAlignment="1">
      <alignment vertical="center"/>
    </xf>
    <xf numFmtId="9" fontId="15" fillId="15" borderId="40" xfId="0" applyNumberFormat="1" applyFont="1" applyFill="1" applyBorder="1" applyAlignment="1">
      <alignment horizontal="center" vertical="center"/>
    </xf>
    <xf numFmtId="0" fontId="15" fillId="15" borderId="40" xfId="0" applyFont="1" applyFill="1" applyBorder="1" applyAlignment="1">
      <alignment vertical="center"/>
    </xf>
    <xf numFmtId="10" fontId="15" fillId="15" borderId="40" xfId="1" applyNumberFormat="1" applyFont="1" applyFill="1" applyBorder="1" applyAlignment="1">
      <alignment horizontal="center" vertical="center"/>
    </xf>
    <xf numFmtId="10" fontId="15" fillId="15" borderId="40" xfId="1" applyNumberFormat="1" applyFont="1" applyFill="1" applyBorder="1" applyAlignment="1">
      <alignment vertical="center"/>
    </xf>
    <xf numFmtId="10" fontId="6" fillId="4" borderId="8" xfId="1" applyNumberFormat="1" applyFont="1" applyFill="1" applyBorder="1" applyAlignment="1">
      <alignment horizontal="center" vertical="center" wrapText="1"/>
    </xf>
    <xf numFmtId="10" fontId="6" fillId="4" borderId="4" xfId="1" applyNumberFormat="1" applyFont="1" applyFill="1" applyBorder="1" applyAlignment="1">
      <alignment horizontal="center" vertical="center" wrapText="1"/>
    </xf>
    <xf numFmtId="10" fontId="6" fillId="4" borderId="9" xfId="1" applyNumberFormat="1" applyFont="1" applyFill="1" applyBorder="1" applyAlignment="1">
      <alignment horizontal="center" vertical="center" wrapText="1"/>
    </xf>
    <xf numFmtId="10" fontId="6" fillId="4" borderId="6" xfId="1" applyNumberFormat="1" applyFont="1" applyFill="1" applyBorder="1" applyAlignment="1">
      <alignment horizontal="center" vertical="center" wrapText="1"/>
    </xf>
    <xf numFmtId="10" fontId="6" fillId="4" borderId="7" xfId="1" applyNumberFormat="1" applyFont="1" applyFill="1" applyBorder="1" applyAlignment="1">
      <alignment horizontal="center" vertical="center" wrapText="1"/>
    </xf>
    <xf numFmtId="10" fontId="6" fillId="4" borderId="10" xfId="1" applyNumberFormat="1" applyFont="1" applyFill="1" applyBorder="1" applyAlignment="1">
      <alignment horizontal="center" vertical="center" wrapText="1"/>
    </xf>
    <xf numFmtId="10" fontId="6" fillId="4" borderId="11" xfId="1" applyNumberFormat="1" applyFont="1" applyFill="1" applyBorder="1" applyAlignment="1">
      <alignment horizontal="center" vertical="center" wrapText="1"/>
    </xf>
    <xf numFmtId="10" fontId="6" fillId="4" borderId="12" xfId="1" applyNumberFormat="1" applyFont="1" applyFill="1" applyBorder="1" applyAlignment="1">
      <alignment horizontal="center" vertical="center" wrapText="1"/>
    </xf>
    <xf numFmtId="10" fontId="6" fillId="4" borderId="13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9" fontId="0" fillId="0" borderId="31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10" fontId="0" fillId="0" borderId="32" xfId="1" applyNumberFormat="1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center" vertical="center"/>
    </xf>
    <xf numFmtId="10" fontId="0" fillId="0" borderId="25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40" xfId="1" applyNumberFormat="1" applyFont="1" applyBorder="1" applyAlignment="1">
      <alignment horizontal="center" vertical="center"/>
    </xf>
    <xf numFmtId="10" fontId="0" fillId="0" borderId="26" xfId="1" applyNumberFormat="1" applyFont="1" applyBorder="1" applyAlignment="1">
      <alignment horizontal="center" vertical="center"/>
    </xf>
    <xf numFmtId="10" fontId="0" fillId="0" borderId="34" xfId="1" applyNumberFormat="1" applyFont="1" applyBorder="1" applyAlignment="1">
      <alignment horizontal="center" vertical="center"/>
    </xf>
    <xf numFmtId="10" fontId="0" fillId="0" borderId="41" xfId="1" applyNumberFormat="1" applyFont="1" applyBorder="1" applyAlignment="1">
      <alignment horizontal="center"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10" fontId="6" fillId="4" borderId="3" xfId="1" applyNumberFormat="1" applyFont="1" applyFill="1" applyBorder="1" applyAlignment="1">
      <alignment horizontal="center" vertical="center" wrapText="1"/>
    </xf>
    <xf numFmtId="10" fontId="6" fillId="4" borderId="4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 vertical="center"/>
    </xf>
    <xf numFmtId="10" fontId="6" fillId="4" borderId="7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 vertical="center" wrapText="1"/>
    </xf>
    <xf numFmtId="10" fontId="0" fillId="0" borderId="29" xfId="1" applyNumberFormat="1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5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9" fontId="0" fillId="0" borderId="46" xfId="0" applyNumberFormat="1" applyFont="1" applyBorder="1" applyAlignment="1">
      <alignment horizontal="center" vertical="center"/>
    </xf>
    <xf numFmtId="9" fontId="0" fillId="0" borderId="50" xfId="0" applyNumberFormat="1" applyFont="1" applyBorder="1" applyAlignment="1">
      <alignment horizontal="center" vertical="center"/>
    </xf>
    <xf numFmtId="9" fontId="0" fillId="0" borderId="52" xfId="0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21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10" fontId="0" fillId="0" borderId="44" xfId="1" applyNumberFormat="1" applyFont="1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10" fontId="0" fillId="0" borderId="48" xfId="1" applyNumberFormat="1" applyFont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41" fillId="12" borderId="12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10" fontId="6" fillId="15" borderId="85" xfId="1" applyNumberFormat="1" applyFont="1" applyFill="1" applyBorder="1" applyAlignment="1">
      <alignment horizontal="center" vertical="center" wrapText="1"/>
    </xf>
    <xf numFmtId="10" fontId="6" fillId="15" borderId="86" xfId="1" applyNumberFormat="1" applyFont="1" applyFill="1" applyBorder="1" applyAlignment="1">
      <alignment horizontal="center" vertical="center" wrapText="1"/>
    </xf>
    <xf numFmtId="0" fontId="15" fillId="15" borderId="89" xfId="0" applyFont="1" applyFill="1" applyBorder="1" applyAlignment="1">
      <alignment horizontal="center" vertical="center"/>
    </xf>
    <xf numFmtId="0" fontId="15" fillId="15" borderId="99" xfId="0" applyFont="1" applyFill="1" applyBorder="1" applyAlignment="1">
      <alignment horizontal="center" vertical="center"/>
    </xf>
    <xf numFmtId="0" fontId="12" fillId="15" borderId="85" xfId="0" applyFont="1" applyFill="1" applyBorder="1" applyAlignment="1">
      <alignment horizontal="center" vertical="center" wrapText="1"/>
    </xf>
    <xf numFmtId="0" fontId="12" fillId="15" borderId="55" xfId="0" applyFont="1" applyFill="1" applyBorder="1" applyAlignment="1">
      <alignment horizontal="center" vertical="center" wrapText="1"/>
    </xf>
    <xf numFmtId="0" fontId="15" fillId="15" borderId="85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10" fontId="6" fillId="15" borderId="85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6" fillId="4" borderId="73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 wrapText="1"/>
    </xf>
    <xf numFmtId="10" fontId="6" fillId="4" borderId="73" xfId="1" applyNumberFormat="1" applyFont="1" applyFill="1" applyBorder="1" applyAlignment="1">
      <alignment horizontal="center" vertical="center" wrapText="1"/>
    </xf>
    <xf numFmtId="10" fontId="6" fillId="4" borderId="73" xfId="1" applyNumberFormat="1" applyFont="1" applyFill="1" applyBorder="1" applyAlignment="1">
      <alignment horizontal="center" vertical="center"/>
    </xf>
    <xf numFmtId="10" fontId="0" fillId="0" borderId="69" xfId="1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9" fontId="0" fillId="0" borderId="64" xfId="0" applyNumberFormat="1" applyFont="1" applyBorder="1" applyAlignment="1">
      <alignment horizontal="center" vertical="center"/>
    </xf>
    <xf numFmtId="9" fontId="0" fillId="0" borderId="6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10" fontId="0" fillId="0" borderId="54" xfId="1" applyNumberFormat="1" applyFont="1" applyBorder="1" applyAlignment="1">
      <alignment horizontal="center" vertical="center"/>
    </xf>
    <xf numFmtId="10" fontId="0" fillId="0" borderId="55" xfId="1" applyNumberFormat="1" applyFont="1" applyBorder="1" applyAlignment="1">
      <alignment horizontal="center" vertical="center"/>
    </xf>
    <xf numFmtId="10" fontId="0" fillId="0" borderId="56" xfId="1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10" fontId="0" fillId="0" borderId="65" xfId="1" applyNumberFormat="1" applyFont="1" applyBorder="1" applyAlignment="1">
      <alignment horizontal="center" vertical="center"/>
    </xf>
    <xf numFmtId="10" fontId="0" fillId="0" borderId="47" xfId="1" applyNumberFormat="1" applyFont="1" applyBorder="1" applyAlignment="1">
      <alignment horizontal="center" vertical="center"/>
    </xf>
    <xf numFmtId="10" fontId="0" fillId="0" borderId="42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3" fontId="40" fillId="0" borderId="100" xfId="0" applyNumberFormat="1" applyFont="1" applyBorder="1" applyAlignment="1">
      <alignment horizontal="center" vertical="center" wrapText="1"/>
    </xf>
    <xf numFmtId="3" fontId="40" fillId="0" borderId="103" xfId="0" applyNumberFormat="1" applyFont="1" applyBorder="1" applyAlignment="1">
      <alignment horizontal="center" vertical="center" wrapText="1"/>
    </xf>
    <xf numFmtId="9" fontId="0" fillId="0" borderId="98" xfId="0" applyNumberFormat="1" applyFont="1" applyBorder="1" applyAlignment="1">
      <alignment horizontal="center" vertical="center"/>
    </xf>
    <xf numFmtId="0" fontId="36" fillId="12" borderId="82" xfId="0" applyFont="1" applyFill="1" applyBorder="1" applyAlignment="1">
      <alignment horizontal="center"/>
    </xf>
    <xf numFmtId="0" fontId="36" fillId="12" borderId="83" xfId="0" applyFont="1" applyFill="1" applyBorder="1" applyAlignment="1">
      <alignment horizontal="center"/>
    </xf>
    <xf numFmtId="0" fontId="36" fillId="12" borderId="84" xfId="0" applyFont="1" applyFill="1" applyBorder="1" applyAlignment="1">
      <alignment horizontal="center"/>
    </xf>
    <xf numFmtId="0" fontId="6" fillId="15" borderId="89" xfId="0" applyFont="1" applyFill="1" applyBorder="1" applyAlignment="1">
      <alignment horizontal="center" vertical="center"/>
    </xf>
    <xf numFmtId="0" fontId="6" fillId="15" borderId="90" xfId="0" applyFont="1" applyFill="1" applyBorder="1" applyAlignment="1">
      <alignment horizontal="center" vertical="center"/>
    </xf>
    <xf numFmtId="0" fontId="6" fillId="15" borderId="85" xfId="0" applyFont="1" applyFill="1" applyBorder="1" applyAlignment="1">
      <alignment horizontal="center" vertical="center" wrapText="1"/>
    </xf>
    <xf numFmtId="0" fontId="6" fillId="15" borderId="91" xfId="0" applyFont="1" applyFill="1" applyBorder="1" applyAlignment="1">
      <alignment horizontal="center" vertical="center" wrapText="1"/>
    </xf>
    <xf numFmtId="0" fontId="6" fillId="15" borderId="85" xfId="0" applyFont="1" applyFill="1" applyBorder="1" applyAlignment="1">
      <alignment horizontal="center" vertical="center"/>
    </xf>
    <xf numFmtId="0" fontId="6" fillId="15" borderId="91" xfId="0" applyFont="1" applyFill="1" applyBorder="1" applyAlignment="1">
      <alignment horizontal="center" vertical="center"/>
    </xf>
    <xf numFmtId="10" fontId="6" fillId="15" borderId="94" xfId="1" applyNumberFormat="1" applyFont="1" applyFill="1" applyBorder="1" applyAlignment="1">
      <alignment horizontal="center" vertical="center" wrapText="1"/>
    </xf>
    <xf numFmtId="10" fontId="6" fillId="15" borderId="95" xfId="1" applyNumberFormat="1" applyFont="1" applyFill="1" applyBorder="1" applyAlignment="1">
      <alignment horizontal="center" vertical="center" wrapText="1"/>
    </xf>
    <xf numFmtId="10" fontId="6" fillId="15" borderId="96" xfId="1" applyNumberFormat="1" applyFont="1" applyFill="1" applyBorder="1" applyAlignment="1">
      <alignment horizontal="center" vertical="center" wrapText="1"/>
    </xf>
    <xf numFmtId="10" fontId="2" fillId="0" borderId="64" xfId="1" applyNumberFormat="1" applyFont="1" applyBorder="1" applyAlignment="1">
      <alignment horizontal="center" vertical="center"/>
    </xf>
    <xf numFmtId="10" fontId="2" fillId="0" borderId="98" xfId="1" applyNumberFormat="1" applyFont="1" applyBorder="1" applyAlignment="1">
      <alignment horizontal="center" vertical="center"/>
    </xf>
    <xf numFmtId="10" fontId="39" fillId="0" borderId="172" xfId="1" applyNumberFormat="1" applyFont="1" applyFill="1" applyBorder="1" applyAlignment="1">
      <alignment horizontal="center" vertical="center"/>
    </xf>
    <xf numFmtId="10" fontId="39" fillId="0" borderId="164" xfId="1" applyNumberFormat="1" applyFont="1" applyFill="1" applyBorder="1" applyAlignment="1">
      <alignment horizontal="center" vertical="center"/>
    </xf>
    <xf numFmtId="10" fontId="0" fillId="0" borderId="172" xfId="1" applyNumberFormat="1" applyFont="1" applyBorder="1" applyAlignment="1">
      <alignment horizontal="center" vertical="center"/>
    </xf>
    <xf numFmtId="10" fontId="0" fillId="0" borderId="158" xfId="1" applyNumberFormat="1" applyFont="1" applyBorder="1" applyAlignment="1">
      <alignment horizontal="center" vertical="center"/>
    </xf>
    <xf numFmtId="10" fontId="2" fillId="0" borderId="126" xfId="1" applyNumberFormat="1" applyFont="1" applyBorder="1" applyAlignment="1">
      <alignment horizontal="center" vertical="center"/>
    </xf>
    <xf numFmtId="10" fontId="2" fillId="0" borderId="107" xfId="1" applyNumberFormat="1" applyFont="1" applyBorder="1" applyAlignment="1">
      <alignment horizontal="center" vertical="center"/>
    </xf>
    <xf numFmtId="10" fontId="2" fillId="0" borderId="172" xfId="1" applyNumberFormat="1" applyFont="1" applyBorder="1" applyAlignment="1">
      <alignment horizontal="center" vertical="center"/>
    </xf>
    <xf numFmtId="10" fontId="2" fillId="0" borderId="164" xfId="1" applyNumberFormat="1" applyFont="1" applyBorder="1" applyAlignment="1">
      <alignment horizontal="center" vertical="center"/>
    </xf>
    <xf numFmtId="10" fontId="6" fillId="15" borderId="138" xfId="1" applyNumberFormat="1" applyFont="1" applyFill="1" applyBorder="1" applyAlignment="1">
      <alignment horizontal="center" vertical="center" wrapText="1"/>
    </xf>
    <xf numFmtId="10" fontId="6" fillId="15" borderId="139" xfId="1" applyNumberFormat="1" applyFont="1" applyFill="1" applyBorder="1" applyAlignment="1">
      <alignment horizontal="center" vertical="center" wrapText="1"/>
    </xf>
    <xf numFmtId="0" fontId="16" fillId="12" borderId="82" xfId="0" applyFont="1" applyFill="1" applyBorder="1" applyAlignment="1">
      <alignment horizontal="center"/>
    </xf>
    <xf numFmtId="0" fontId="16" fillId="12" borderId="83" xfId="0" applyFont="1" applyFill="1" applyBorder="1" applyAlignment="1">
      <alignment horizontal="center"/>
    </xf>
    <xf numFmtId="0" fontId="16" fillId="12" borderId="84" xfId="0" applyFont="1" applyFill="1" applyBorder="1" applyAlignment="1">
      <alignment horizontal="center"/>
    </xf>
    <xf numFmtId="0" fontId="6" fillId="15" borderId="94" xfId="0" applyFont="1" applyFill="1" applyBorder="1" applyAlignment="1">
      <alignment horizontal="center" vertical="center"/>
    </xf>
    <xf numFmtId="0" fontId="6" fillId="15" borderId="117" xfId="0" applyFont="1" applyFill="1" applyBorder="1" applyAlignment="1">
      <alignment horizontal="center" vertical="center"/>
    </xf>
    <xf numFmtId="10" fontId="6" fillId="15" borderId="139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64" fontId="2" fillId="0" borderId="114" xfId="1" applyNumberFormat="1" applyFont="1" applyFill="1" applyBorder="1" applyAlignment="1">
      <alignment horizontal="center" vertical="center" wrapText="1"/>
    </xf>
    <xf numFmtId="164" fontId="2" fillId="0" borderId="102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0" fontId="2" fillId="0" borderId="168" xfId="1" applyNumberFormat="1" applyFont="1" applyFill="1" applyBorder="1" applyAlignment="1">
      <alignment horizontal="center" vertical="center" wrapText="1"/>
    </xf>
    <xf numFmtId="10" fontId="2" fillId="0" borderId="167" xfId="1" applyNumberFormat="1" applyFont="1" applyFill="1" applyBorder="1" applyAlignment="1">
      <alignment horizontal="center" vertical="center" wrapText="1"/>
    </xf>
    <xf numFmtId="164" fontId="2" fillId="0" borderId="85" xfId="1" applyNumberFormat="1" applyFont="1" applyFill="1" applyBorder="1" applyAlignment="1">
      <alignment horizontal="center" vertical="center" wrapText="1"/>
    </xf>
    <xf numFmtId="164" fontId="2" fillId="0" borderId="33" xfId="1" applyNumberFormat="1" applyFont="1" applyFill="1" applyBorder="1" applyAlignment="1">
      <alignment horizontal="center" vertical="center" wrapText="1"/>
    </xf>
    <xf numFmtId="164" fontId="2" fillId="0" borderId="86" xfId="1" applyNumberFormat="1" applyFont="1" applyFill="1" applyBorder="1" applyAlignment="1">
      <alignment horizontal="center" vertical="center" wrapText="1"/>
    </xf>
    <xf numFmtId="164" fontId="2" fillId="0" borderId="81" xfId="1" applyNumberFormat="1" applyFont="1" applyFill="1" applyBorder="1" applyAlignment="1">
      <alignment horizontal="center" vertical="center" wrapText="1"/>
    </xf>
    <xf numFmtId="164" fontId="2" fillId="0" borderId="165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0" fontId="2" fillId="0" borderId="165" xfId="1" applyNumberFormat="1" applyFont="1" applyFill="1" applyBorder="1" applyAlignment="1">
      <alignment horizontal="center" vertical="center" wrapText="1"/>
    </xf>
    <xf numFmtId="10" fontId="2" fillId="0" borderId="166" xfId="1" applyNumberFormat="1" applyFont="1" applyFill="1" applyBorder="1" applyAlignment="1">
      <alignment horizontal="center" vertical="center" wrapText="1"/>
    </xf>
    <xf numFmtId="10" fontId="0" fillId="0" borderId="168" xfId="1" applyNumberFormat="1" applyFont="1" applyFill="1" applyBorder="1" applyAlignment="1">
      <alignment horizontal="center" vertical="center" wrapText="1"/>
    </xf>
    <xf numFmtId="10" fontId="0" fillId="0" borderId="167" xfId="1" applyNumberFormat="1" applyFont="1" applyFill="1" applyBorder="1" applyAlignment="1">
      <alignment horizontal="center" vertical="center" wrapText="1"/>
    </xf>
    <xf numFmtId="3" fontId="0" fillId="0" borderId="89" xfId="0" applyNumberFormat="1" applyFont="1" applyBorder="1" applyAlignment="1">
      <alignment horizontal="center" vertical="center" wrapText="1"/>
    </xf>
    <xf numFmtId="3" fontId="0" fillId="0" borderId="87" xfId="0" applyNumberFormat="1" applyFont="1" applyBorder="1" applyAlignment="1">
      <alignment horizontal="center" vertical="center" wrapText="1"/>
    </xf>
    <xf numFmtId="3" fontId="0" fillId="0" borderId="112" xfId="0" applyNumberFormat="1" applyFont="1" applyBorder="1" applyAlignment="1">
      <alignment horizontal="center" vertical="center" wrapText="1"/>
    </xf>
    <xf numFmtId="9" fontId="0" fillId="0" borderId="85" xfId="0" applyNumberFormat="1" applyFont="1" applyBorder="1" applyAlignment="1">
      <alignment horizontal="center" vertical="center"/>
    </xf>
    <xf numFmtId="9" fontId="0" fillId="0" borderId="33" xfId="0" applyNumberFormat="1" applyFont="1" applyBorder="1" applyAlignment="1">
      <alignment horizontal="center" vertical="center"/>
    </xf>
    <xf numFmtId="9" fontId="0" fillId="0" borderId="40" xfId="0" applyNumberFormat="1" applyFont="1" applyBorder="1" applyAlignment="1">
      <alignment horizontal="center" vertical="center"/>
    </xf>
    <xf numFmtId="164" fontId="2" fillId="0" borderId="85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0" fontId="0" fillId="0" borderId="158" xfId="1" applyNumberFormat="1" applyFont="1" applyFill="1" applyBorder="1" applyAlignment="1">
      <alignment horizontal="center" vertical="center" wrapText="1"/>
    </xf>
    <xf numFmtId="10" fontId="0" fillId="0" borderId="166" xfId="1" applyNumberFormat="1" applyFont="1" applyFill="1" applyBorder="1" applyAlignment="1">
      <alignment horizontal="center" vertical="center" wrapText="1"/>
    </xf>
    <xf numFmtId="3" fontId="0" fillId="0" borderId="140" xfId="0" applyNumberFormat="1" applyFont="1" applyBorder="1" applyAlignment="1">
      <alignment horizontal="center" vertical="center" wrapText="1"/>
    </xf>
    <xf numFmtId="3" fontId="0" fillId="0" borderId="101" xfId="0" applyNumberFormat="1" applyFont="1" applyBorder="1" applyAlignment="1">
      <alignment horizontal="center" vertical="center" wrapText="1"/>
    </xf>
    <xf numFmtId="3" fontId="0" fillId="0" borderId="100" xfId="0" applyNumberFormat="1" applyFont="1" applyBorder="1" applyAlignment="1">
      <alignment horizontal="center" vertical="center" wrapText="1"/>
    </xf>
    <xf numFmtId="10" fontId="2" fillId="0" borderId="4" xfId="1" applyNumberFormat="1" applyFont="1" applyFill="1" applyBorder="1" applyAlignment="1">
      <alignment horizontal="center" vertical="center" wrapText="1"/>
    </xf>
    <xf numFmtId="10" fontId="2" fillId="0" borderId="64" xfId="1" applyNumberFormat="1" applyFont="1" applyFill="1" applyBorder="1" applyAlignment="1">
      <alignment horizontal="center" vertical="center" wrapText="1"/>
    </xf>
    <xf numFmtId="10" fontId="2" fillId="0" borderId="61" xfId="1" applyNumberFormat="1" applyFont="1" applyFill="1" applyBorder="1" applyAlignment="1">
      <alignment horizontal="center" vertical="center" wrapText="1"/>
    </xf>
    <xf numFmtId="10" fontId="2" fillId="0" borderId="120" xfId="1" applyNumberFormat="1" applyFont="1" applyFill="1" applyBorder="1" applyAlignment="1">
      <alignment horizontal="center" vertical="center" wrapText="1"/>
    </xf>
    <xf numFmtId="164" fontId="2" fillId="0" borderId="120" xfId="1" applyNumberFormat="1" applyFont="1" applyFill="1" applyBorder="1" applyAlignment="1">
      <alignment horizontal="center" vertical="center" wrapText="1"/>
    </xf>
    <xf numFmtId="164" fontId="2" fillId="0" borderId="64" xfId="1" applyNumberFormat="1" applyFont="1" applyFill="1" applyBorder="1" applyAlignment="1">
      <alignment horizontal="center" vertical="center" wrapText="1"/>
    </xf>
    <xf numFmtId="164" fontId="2" fillId="0" borderId="61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horizontal="center" vertical="center"/>
    </xf>
    <xf numFmtId="9" fontId="0" fillId="0" borderId="35" xfId="0" applyNumberFormat="1" applyFont="1" applyBorder="1" applyAlignment="1">
      <alignment horizontal="center" vertical="center"/>
    </xf>
    <xf numFmtId="9" fontId="0" fillId="0" borderId="58" xfId="0" applyNumberFormat="1" applyFont="1" applyBorder="1" applyAlignment="1">
      <alignment horizontal="center" vertical="center"/>
    </xf>
    <xf numFmtId="10" fontId="1" fillId="0" borderId="48" xfId="1" applyNumberFormat="1" applyFont="1" applyBorder="1" applyAlignment="1">
      <alignment horizontal="center" vertical="center"/>
    </xf>
    <xf numFmtId="10" fontId="1" fillId="0" borderId="36" xfId="1" applyNumberFormat="1" applyFont="1" applyBorder="1" applyAlignment="1">
      <alignment horizontal="center" vertical="center"/>
    </xf>
    <xf numFmtId="3" fontId="4" fillId="0" borderId="89" xfId="0" applyNumberFormat="1" applyFont="1" applyBorder="1" applyAlignment="1">
      <alignment horizontal="center" vertical="center" wrapText="1"/>
    </xf>
    <xf numFmtId="3" fontId="4" fillId="0" borderId="87" xfId="0" applyNumberFormat="1" applyFont="1" applyBorder="1" applyAlignment="1">
      <alignment horizontal="center" vertical="center" wrapText="1"/>
    </xf>
    <xf numFmtId="3" fontId="4" fillId="0" borderId="90" xfId="0" applyNumberFormat="1" applyFont="1" applyBorder="1" applyAlignment="1">
      <alignment horizontal="center" vertical="center" wrapText="1"/>
    </xf>
    <xf numFmtId="0" fontId="36" fillId="12" borderId="11" xfId="0" applyFont="1" applyFill="1" applyBorder="1" applyAlignment="1">
      <alignment horizontal="center"/>
    </xf>
    <xf numFmtId="0" fontId="36" fillId="12" borderId="12" xfId="0" applyFont="1" applyFill="1" applyBorder="1" applyAlignment="1">
      <alignment horizontal="center"/>
    </xf>
    <xf numFmtId="0" fontId="36" fillId="12" borderId="13" xfId="0" applyFont="1" applyFill="1" applyBorder="1" applyAlignment="1">
      <alignment horizontal="center"/>
    </xf>
    <xf numFmtId="9" fontId="4" fillId="0" borderId="85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91" xfId="1" applyFont="1" applyBorder="1" applyAlignment="1">
      <alignment horizontal="center" vertical="center" wrapText="1"/>
    </xf>
    <xf numFmtId="10" fontId="2" fillId="0" borderId="85" xfId="1" applyNumberFormat="1" applyFont="1" applyBorder="1" applyAlignment="1">
      <alignment horizontal="center" vertical="center"/>
    </xf>
    <xf numFmtId="10" fontId="2" fillId="0" borderId="33" xfId="1" applyNumberFormat="1" applyFont="1" applyBorder="1" applyAlignment="1">
      <alignment horizontal="center" vertical="center"/>
    </xf>
    <xf numFmtId="10" fontId="2" fillId="0" borderId="91" xfId="1" applyNumberFormat="1" applyFont="1" applyBorder="1" applyAlignment="1">
      <alignment horizontal="center" vertical="center"/>
    </xf>
    <xf numFmtId="10" fontId="2" fillId="0" borderId="86" xfId="1" applyNumberFormat="1" applyFont="1" applyBorder="1" applyAlignment="1">
      <alignment horizontal="center" vertical="center"/>
    </xf>
    <xf numFmtId="10" fontId="2" fillId="0" borderId="81" xfId="1" applyNumberFormat="1" applyFont="1" applyBorder="1" applyAlignment="1">
      <alignment horizontal="center" vertical="center"/>
    </xf>
    <xf numFmtId="10" fontId="2" fillId="0" borderId="92" xfId="1" applyNumberFormat="1" applyFont="1" applyBorder="1" applyAlignment="1">
      <alignment horizontal="center" vertical="center"/>
    </xf>
    <xf numFmtId="10" fontId="2" fillId="0" borderId="165" xfId="1" applyNumberFormat="1" applyFont="1" applyBorder="1" applyAlignment="1">
      <alignment horizontal="center" vertical="center"/>
    </xf>
    <xf numFmtId="10" fontId="2" fillId="0" borderId="166" xfId="1" applyNumberFormat="1" applyFont="1" applyBorder="1" applyAlignment="1">
      <alignment horizontal="center" vertical="center"/>
    </xf>
    <xf numFmtId="10" fontId="2" fillId="0" borderId="173" xfId="1" applyNumberFormat="1" applyFont="1" applyBorder="1" applyAlignment="1">
      <alignment horizontal="center" vertical="center"/>
    </xf>
    <xf numFmtId="10" fontId="29" fillId="0" borderId="26" xfId="1" applyNumberFormat="1" applyFont="1" applyBorder="1" applyAlignment="1">
      <alignment horizontal="center" vertical="center"/>
    </xf>
    <xf numFmtId="10" fontId="29" fillId="0" borderId="34" xfId="1" applyNumberFormat="1" applyFont="1" applyBorder="1" applyAlignment="1">
      <alignment horizontal="center" vertical="center"/>
    </xf>
    <xf numFmtId="10" fontId="29" fillId="0" borderId="41" xfId="1" applyNumberFormat="1" applyFont="1" applyBorder="1" applyAlignment="1">
      <alignment horizontal="center" vertical="center"/>
    </xf>
    <xf numFmtId="10" fontId="29" fillId="0" borderId="24" xfId="1" applyNumberFormat="1" applyFont="1" applyBorder="1" applyAlignment="1">
      <alignment horizontal="center" vertical="center"/>
    </xf>
    <xf numFmtId="10" fontId="29" fillId="0" borderId="32" xfId="1" applyNumberFormat="1" applyFont="1" applyBorder="1" applyAlignment="1">
      <alignment horizontal="center" vertical="center"/>
    </xf>
    <xf numFmtId="10" fontId="29" fillId="0" borderId="39" xfId="1" applyNumberFormat="1" applyFont="1" applyBorder="1" applyAlignment="1">
      <alignment horizontal="center" vertical="center"/>
    </xf>
    <xf numFmtId="10" fontId="29" fillId="0" borderId="25" xfId="1" applyNumberFormat="1" applyFont="1" applyBorder="1" applyAlignment="1">
      <alignment horizontal="center" vertical="center"/>
    </xf>
    <xf numFmtId="10" fontId="29" fillId="0" borderId="33" xfId="1" applyNumberFormat="1" applyFont="1" applyBorder="1" applyAlignment="1">
      <alignment horizontal="center" vertical="center"/>
    </xf>
    <xf numFmtId="10" fontId="29" fillId="0" borderId="40" xfId="1" applyNumberFormat="1" applyFont="1" applyBorder="1" applyAlignment="1">
      <alignment horizontal="center" vertical="center"/>
    </xf>
    <xf numFmtId="10" fontId="24" fillId="0" borderId="25" xfId="1" applyNumberFormat="1" applyFont="1" applyBorder="1" applyAlignment="1">
      <alignment horizontal="center" vertical="center"/>
    </xf>
    <xf numFmtId="10" fontId="24" fillId="0" borderId="33" xfId="1" applyNumberFormat="1" applyFont="1" applyBorder="1" applyAlignment="1">
      <alignment horizontal="center" vertical="center"/>
    </xf>
    <xf numFmtId="10" fontId="24" fillId="0" borderId="40" xfId="1" applyNumberFormat="1" applyFont="1" applyBorder="1" applyAlignment="1">
      <alignment horizontal="center" vertical="center"/>
    </xf>
    <xf numFmtId="10" fontId="29" fillId="0" borderId="120" xfId="1" applyNumberFormat="1" applyFont="1" applyBorder="1" applyAlignment="1">
      <alignment horizontal="center" vertical="center"/>
    </xf>
    <xf numFmtId="10" fontId="29" fillId="0" borderId="64" xfId="1" applyNumberFormat="1" applyFont="1" applyBorder="1" applyAlignment="1">
      <alignment horizontal="center" vertical="center"/>
    </xf>
    <xf numFmtId="10" fontId="29" fillId="0" borderId="61" xfId="1" applyNumberFormat="1" applyFont="1" applyBorder="1" applyAlignment="1">
      <alignment horizontal="center" vertical="center"/>
    </xf>
    <xf numFmtId="10" fontId="29" fillId="0" borderId="123" xfId="1" applyNumberFormat="1" applyFont="1" applyBorder="1" applyAlignment="1">
      <alignment horizontal="center" vertical="center"/>
    </xf>
    <xf numFmtId="10" fontId="29" fillId="0" borderId="65" xfId="1" applyNumberFormat="1" applyFont="1" applyBorder="1" applyAlignment="1">
      <alignment horizontal="center" vertical="center"/>
    </xf>
    <xf numFmtId="10" fontId="29" fillId="0" borderId="62" xfId="1" applyNumberFormat="1" applyFont="1" applyBorder="1" applyAlignment="1">
      <alignment horizontal="center" vertical="center"/>
    </xf>
    <xf numFmtId="10" fontId="29" fillId="0" borderId="144" xfId="1" applyNumberFormat="1" applyFont="1" applyBorder="1" applyAlignment="1">
      <alignment horizontal="center" vertical="center"/>
    </xf>
    <xf numFmtId="10" fontId="29" fillId="0" borderId="136" xfId="1" applyNumberFormat="1" applyFont="1" applyBorder="1" applyAlignment="1">
      <alignment horizontal="center" vertical="center"/>
    </xf>
    <xf numFmtId="10" fontId="29" fillId="0" borderId="145" xfId="1" applyNumberFormat="1" applyFont="1" applyBorder="1" applyAlignment="1">
      <alignment horizontal="center" vertical="center"/>
    </xf>
    <xf numFmtId="10" fontId="29" fillId="0" borderId="165" xfId="1" applyNumberFormat="1" applyFont="1" applyBorder="1" applyAlignment="1">
      <alignment horizontal="center" vertical="center"/>
    </xf>
    <xf numFmtId="10" fontId="29" fillId="0" borderId="166" xfId="1" applyNumberFormat="1" applyFont="1" applyBorder="1" applyAlignment="1">
      <alignment horizontal="center" vertical="center"/>
    </xf>
    <xf numFmtId="10" fontId="29" fillId="0" borderId="170" xfId="1" applyNumberFormat="1" applyFont="1" applyBorder="1" applyAlignment="1">
      <alignment horizontal="center" vertical="center"/>
    </xf>
    <xf numFmtId="10" fontId="24" fillId="0" borderId="158" xfId="1" applyNumberFormat="1" applyFont="1" applyBorder="1" applyAlignment="1">
      <alignment horizontal="center" vertical="center"/>
    </xf>
    <xf numFmtId="10" fontId="24" fillId="0" borderId="166" xfId="1" applyNumberFormat="1" applyFont="1" applyBorder="1" applyAlignment="1">
      <alignment horizontal="center" vertical="center"/>
    </xf>
    <xf numFmtId="10" fontId="24" fillId="0" borderId="170" xfId="1" applyNumberFormat="1" applyFont="1" applyBorder="1" applyAlignment="1">
      <alignment horizontal="center" vertical="center"/>
    </xf>
    <xf numFmtId="10" fontId="24" fillId="0" borderId="21" xfId="1" applyNumberFormat="1" applyFont="1" applyBorder="1" applyAlignment="1">
      <alignment horizontal="center" vertical="center"/>
    </xf>
    <xf numFmtId="10" fontId="29" fillId="0" borderId="21" xfId="1" applyNumberFormat="1" applyFont="1" applyBorder="1" applyAlignment="1">
      <alignment horizontal="center" vertical="center"/>
    </xf>
    <xf numFmtId="10" fontId="29" fillId="0" borderId="22" xfId="1" applyNumberFormat="1" applyFont="1" applyBorder="1" applyAlignment="1">
      <alignment horizontal="center" vertical="center"/>
    </xf>
    <xf numFmtId="10" fontId="29" fillId="0" borderId="20" xfId="1" applyNumberFormat="1" applyFont="1" applyBorder="1" applyAlignment="1">
      <alignment horizontal="center" vertical="center"/>
    </xf>
    <xf numFmtId="10" fontId="29" fillId="0" borderId="157" xfId="1" applyNumberFormat="1" applyFont="1" applyBorder="1" applyAlignment="1">
      <alignment horizontal="center" vertical="center"/>
    </xf>
    <xf numFmtId="10" fontId="29" fillId="0" borderId="109" xfId="1" applyNumberFormat="1" applyFont="1" applyBorder="1" applyAlignment="1">
      <alignment horizontal="center" vertical="center"/>
    </xf>
    <xf numFmtId="10" fontId="29" fillId="0" borderId="110" xfId="1" applyNumberFormat="1" applyFont="1" applyBorder="1" applyAlignment="1">
      <alignment horizontal="center" vertical="center"/>
    </xf>
    <xf numFmtId="10" fontId="29" fillId="0" borderId="168" xfId="1" applyNumberFormat="1" applyFont="1" applyBorder="1" applyAlignment="1">
      <alignment horizontal="center" vertical="center"/>
    </xf>
    <xf numFmtId="10" fontId="29" fillId="0" borderId="167" xfId="1" applyNumberFormat="1" applyFont="1" applyBorder="1" applyAlignment="1">
      <alignment horizontal="center" vertical="center"/>
    </xf>
    <xf numFmtId="10" fontId="24" fillId="0" borderId="168" xfId="1" applyNumberFormat="1" applyFont="1" applyBorder="1" applyAlignment="1">
      <alignment horizontal="center" vertical="center"/>
    </xf>
    <xf numFmtId="10" fontId="24" fillId="0" borderId="167" xfId="1" applyNumberFormat="1" applyFont="1" applyBorder="1" applyAlignment="1">
      <alignment horizontal="center" vertical="center"/>
    </xf>
    <xf numFmtId="10" fontId="24" fillId="0" borderId="120" xfId="1" applyNumberFormat="1" applyFont="1" applyBorder="1" applyAlignment="1">
      <alignment horizontal="center" vertical="center"/>
    </xf>
    <xf numFmtId="10" fontId="24" fillId="0" borderId="64" xfId="1" applyNumberFormat="1" applyFont="1" applyBorder="1" applyAlignment="1">
      <alignment horizontal="center" vertical="center"/>
    </xf>
    <xf numFmtId="10" fontId="24" fillId="0" borderId="61" xfId="1" applyNumberFormat="1" applyFont="1" applyBorder="1" applyAlignment="1">
      <alignment horizontal="center" vertical="center"/>
    </xf>
    <xf numFmtId="10" fontId="29" fillId="0" borderId="122" xfId="1" applyNumberFormat="1" applyFont="1" applyBorder="1" applyAlignment="1">
      <alignment horizontal="center" vertical="center"/>
    </xf>
    <xf numFmtId="10" fontId="29" fillId="0" borderId="63" xfId="1" applyNumberFormat="1" applyFont="1" applyBorder="1" applyAlignment="1">
      <alignment horizontal="center" vertical="center"/>
    </xf>
    <xf numFmtId="10" fontId="29" fillId="0" borderId="68" xfId="1" applyNumberFormat="1" applyFont="1" applyBorder="1" applyAlignment="1">
      <alignment horizontal="center" vertical="center"/>
    </xf>
    <xf numFmtId="3" fontId="27" fillId="0" borderId="140" xfId="0" applyNumberFormat="1" applyFont="1" applyFill="1" applyBorder="1" applyAlignment="1">
      <alignment horizontal="center" vertical="center" wrapText="1"/>
    </xf>
    <xf numFmtId="3" fontId="27" fillId="0" borderId="100" xfId="0" applyNumberFormat="1" applyFont="1" applyFill="1" applyBorder="1" applyAlignment="1">
      <alignment horizontal="center" vertical="center" wrapText="1"/>
    </xf>
    <xf numFmtId="3" fontId="27" fillId="0" borderId="101" xfId="0" applyNumberFormat="1" applyFont="1" applyFill="1" applyBorder="1" applyAlignment="1">
      <alignment horizontal="center" vertical="center" wrapText="1"/>
    </xf>
    <xf numFmtId="9" fontId="24" fillId="0" borderId="4" xfId="0" applyNumberFormat="1" applyFont="1" applyFill="1" applyBorder="1" applyAlignment="1">
      <alignment horizontal="center" vertical="center"/>
    </xf>
    <xf numFmtId="9" fontId="24" fillId="0" borderId="64" xfId="0" applyNumberFormat="1" applyFont="1" applyFill="1" applyBorder="1" applyAlignment="1">
      <alignment horizontal="center" vertical="center"/>
    </xf>
    <xf numFmtId="9" fontId="24" fillId="0" borderId="61" xfId="0" applyNumberFormat="1" applyFont="1" applyFill="1" applyBorder="1" applyAlignment="1">
      <alignment horizontal="center" vertical="center"/>
    </xf>
    <xf numFmtId="10" fontId="24" fillId="0" borderId="122" xfId="1" applyNumberFormat="1" applyFont="1" applyBorder="1" applyAlignment="1">
      <alignment horizontal="center" vertical="center"/>
    </xf>
    <xf numFmtId="10" fontId="24" fillId="0" borderId="63" xfId="1" applyNumberFormat="1" applyFont="1" applyBorder="1" applyAlignment="1">
      <alignment horizontal="center" vertical="center"/>
    </xf>
    <xf numFmtId="10" fontId="24" fillId="0" borderId="68" xfId="1" applyNumberFormat="1" applyFont="1" applyBorder="1" applyAlignment="1">
      <alignment horizontal="center" vertical="center"/>
    </xf>
    <xf numFmtId="10" fontId="24" fillId="0" borderId="20" xfId="1" applyNumberFormat="1" applyFont="1" applyBorder="1" applyAlignment="1">
      <alignment horizontal="center" vertical="center"/>
    </xf>
    <xf numFmtId="10" fontId="24" fillId="0" borderId="32" xfId="1" applyNumberFormat="1" applyFont="1" applyBorder="1" applyAlignment="1">
      <alignment horizontal="center" vertical="center"/>
    </xf>
    <xf numFmtId="10" fontId="24" fillId="0" borderId="54" xfId="1" applyNumberFormat="1" applyFont="1" applyBorder="1" applyAlignment="1">
      <alignment horizontal="center" vertical="center"/>
    </xf>
    <xf numFmtId="10" fontId="24" fillId="0" borderId="2" xfId="1" applyNumberFormat="1" applyFont="1" applyBorder="1" applyAlignment="1">
      <alignment horizontal="center" vertical="center"/>
    </xf>
    <xf numFmtId="10" fontId="24" fillId="0" borderId="31" xfId="1" applyNumberFormat="1" applyFont="1" applyBorder="1" applyAlignment="1">
      <alignment horizontal="center" vertical="center"/>
    </xf>
    <xf numFmtId="10" fontId="24" fillId="0" borderId="15" xfId="1" applyNumberFormat="1" applyFont="1" applyBorder="1" applyAlignment="1">
      <alignment horizontal="center" vertical="center"/>
    </xf>
    <xf numFmtId="10" fontId="24" fillId="0" borderId="39" xfId="1" applyNumberFormat="1" applyFont="1" applyBorder="1" applyAlignment="1">
      <alignment horizontal="center" vertical="center"/>
    </xf>
    <xf numFmtId="3" fontId="27" fillId="0" borderId="89" xfId="0" applyNumberFormat="1" applyFont="1" applyFill="1" applyBorder="1" applyAlignment="1">
      <alignment horizontal="center" vertical="center" wrapText="1"/>
    </xf>
    <xf numFmtId="3" fontId="27" fillId="0" borderId="87" xfId="0" applyNumberFormat="1" applyFont="1" applyFill="1" applyBorder="1" applyAlignment="1">
      <alignment horizontal="center" vertical="center" wrapText="1"/>
    </xf>
    <xf numFmtId="3" fontId="27" fillId="0" borderId="112" xfId="0" applyNumberFormat="1" applyFont="1" applyFill="1" applyBorder="1" applyAlignment="1">
      <alignment horizontal="center" vertical="center" wrapText="1"/>
    </xf>
    <xf numFmtId="9" fontId="24" fillId="0" borderId="85" xfId="0" applyNumberFormat="1" applyFont="1" applyFill="1" applyBorder="1" applyAlignment="1">
      <alignment horizontal="center" vertical="center"/>
    </xf>
    <xf numFmtId="9" fontId="24" fillId="0" borderId="33" xfId="0" applyNumberFormat="1" applyFont="1" applyFill="1" applyBorder="1" applyAlignment="1">
      <alignment horizontal="center" vertical="center"/>
    </xf>
    <xf numFmtId="9" fontId="24" fillId="0" borderId="40" xfId="0" applyNumberFormat="1" applyFont="1" applyFill="1" applyBorder="1" applyAlignment="1">
      <alignment horizontal="center" vertical="center"/>
    </xf>
    <xf numFmtId="9" fontId="24" fillId="0" borderId="21" xfId="0" applyNumberFormat="1" applyFont="1" applyFill="1" applyBorder="1" applyAlignment="1">
      <alignment horizontal="center" vertical="center"/>
    </xf>
    <xf numFmtId="3" fontId="27" fillId="0" borderId="119" xfId="0" applyNumberFormat="1" applyFont="1" applyFill="1" applyBorder="1" applyAlignment="1">
      <alignment horizontal="center" vertical="center" wrapText="1"/>
    </xf>
    <xf numFmtId="3" fontId="27" fillId="0" borderId="113" xfId="0" applyNumberFormat="1" applyFont="1" applyFill="1" applyBorder="1" applyAlignment="1">
      <alignment horizontal="center" vertical="center" wrapText="1"/>
    </xf>
    <xf numFmtId="9" fontId="24" fillId="0" borderId="25" xfId="0" applyNumberFormat="1" applyFont="1" applyFill="1" applyBorder="1" applyAlignment="1">
      <alignment horizontal="center" vertical="center"/>
    </xf>
    <xf numFmtId="10" fontId="24" fillId="0" borderId="27" xfId="1" applyNumberFormat="1" applyFont="1" applyBorder="1" applyAlignment="1">
      <alignment horizontal="center" vertical="center"/>
    </xf>
    <xf numFmtId="10" fontId="24" fillId="0" borderId="36" xfId="1" applyNumberFormat="1" applyFont="1" applyBorder="1" applyAlignment="1">
      <alignment horizontal="center" vertical="center"/>
    </xf>
    <xf numFmtId="10" fontId="24" fillId="0" borderId="43" xfId="1" applyNumberFormat="1" applyFont="1" applyBorder="1" applyAlignment="1">
      <alignment horizontal="center" vertical="center"/>
    </xf>
    <xf numFmtId="0" fontId="25" fillId="12" borderId="82" xfId="0" applyFont="1" applyFill="1" applyBorder="1" applyAlignment="1">
      <alignment horizontal="center"/>
    </xf>
    <xf numFmtId="0" fontId="25" fillId="12" borderId="83" xfId="0" applyFont="1" applyFill="1" applyBorder="1" applyAlignment="1">
      <alignment horizontal="center"/>
    </xf>
    <xf numFmtId="0" fontId="25" fillId="12" borderId="84" xfId="0" applyFont="1" applyFill="1" applyBorder="1" applyAlignment="1">
      <alignment horizontal="center"/>
    </xf>
    <xf numFmtId="0" fontId="26" fillId="15" borderId="89" xfId="0" applyFont="1" applyFill="1" applyBorder="1" applyAlignment="1">
      <alignment horizontal="center" vertical="center"/>
    </xf>
    <xf numFmtId="0" fontId="26" fillId="15" borderId="90" xfId="0" applyFont="1" applyFill="1" applyBorder="1" applyAlignment="1">
      <alignment horizontal="center" vertical="center"/>
    </xf>
    <xf numFmtId="0" fontId="26" fillId="15" borderId="85" xfId="0" applyFont="1" applyFill="1" applyBorder="1" applyAlignment="1">
      <alignment horizontal="center" vertical="center" wrapText="1"/>
    </xf>
    <xf numFmtId="0" fontId="26" fillId="15" borderId="91" xfId="0" applyFont="1" applyFill="1" applyBorder="1" applyAlignment="1">
      <alignment horizontal="center" vertical="center" wrapText="1"/>
    </xf>
    <xf numFmtId="0" fontId="26" fillId="15" borderId="139" xfId="0" applyFont="1" applyFill="1" applyBorder="1" applyAlignment="1">
      <alignment horizontal="center" vertical="center"/>
    </xf>
    <xf numFmtId="0" fontId="26" fillId="15" borderId="128" xfId="0" applyFont="1" applyFill="1" applyBorder="1" applyAlignment="1">
      <alignment horizontal="center" vertical="center"/>
    </xf>
    <xf numFmtId="10" fontId="26" fillId="15" borderId="138" xfId="1" applyNumberFormat="1" applyFont="1" applyFill="1" applyBorder="1" applyAlignment="1">
      <alignment horizontal="center" vertical="center" wrapText="1"/>
    </xf>
    <xf numFmtId="10" fontId="26" fillId="15" borderId="85" xfId="1" applyNumberFormat="1" applyFont="1" applyFill="1" applyBorder="1" applyAlignment="1">
      <alignment horizontal="center" vertical="center"/>
    </xf>
    <xf numFmtId="10" fontId="26" fillId="15" borderId="94" xfId="1" applyNumberFormat="1" applyFont="1" applyFill="1" applyBorder="1" applyAlignment="1">
      <alignment horizontal="center" vertical="center"/>
    </xf>
    <xf numFmtId="10" fontId="26" fillId="15" borderId="139" xfId="1" applyNumberFormat="1" applyFont="1" applyFill="1" applyBorder="1" applyAlignment="1">
      <alignment horizontal="center" vertical="center"/>
    </xf>
    <xf numFmtId="10" fontId="26" fillId="15" borderId="85" xfId="1" applyNumberFormat="1" applyFont="1" applyFill="1" applyBorder="1" applyAlignment="1">
      <alignment horizontal="center" vertical="center" wrapText="1"/>
    </xf>
    <xf numFmtId="10" fontId="26" fillId="15" borderId="139" xfId="1" applyNumberFormat="1" applyFont="1" applyFill="1" applyBorder="1" applyAlignment="1">
      <alignment horizontal="center" vertical="center" wrapText="1"/>
    </xf>
    <xf numFmtId="10" fontId="26" fillId="15" borderId="86" xfId="1" applyNumberFormat="1" applyFont="1" applyFill="1" applyBorder="1" applyAlignment="1">
      <alignment horizontal="center" vertical="center" wrapText="1"/>
    </xf>
    <xf numFmtId="10" fontId="29" fillId="0" borderId="56" xfId="1" applyNumberFormat="1" applyFont="1" applyBorder="1" applyAlignment="1">
      <alignment horizontal="center" vertical="center"/>
    </xf>
    <xf numFmtId="10" fontId="29" fillId="0" borderId="54" xfId="1" applyNumberFormat="1" applyFont="1" applyBorder="1" applyAlignment="1">
      <alignment horizontal="center" vertical="center"/>
    </xf>
    <xf numFmtId="10" fontId="29" fillId="0" borderId="55" xfId="1" applyNumberFormat="1" applyFont="1" applyBorder="1" applyAlignment="1">
      <alignment horizontal="center" vertical="center"/>
    </xf>
    <xf numFmtId="10" fontId="24" fillId="0" borderId="24" xfId="1" applyNumberFormat="1" applyFont="1" applyBorder="1" applyAlignment="1">
      <alignment horizontal="center" vertical="center"/>
    </xf>
    <xf numFmtId="10" fontId="24" fillId="0" borderId="55" xfId="1" applyNumberFormat="1" applyFont="1" applyBorder="1" applyAlignment="1">
      <alignment horizontal="center" vertical="center"/>
    </xf>
    <xf numFmtId="0" fontId="29" fillId="16" borderId="0" xfId="0" applyFont="1" applyFill="1" applyBorder="1" applyAlignment="1">
      <alignment horizontal="center" wrapText="1"/>
    </xf>
    <xf numFmtId="0" fontId="29" fillId="16" borderId="0" xfId="0" applyFont="1" applyFill="1" applyAlignment="1">
      <alignment horizontal="center" wrapText="1"/>
    </xf>
    <xf numFmtId="10" fontId="29" fillId="0" borderId="4" xfId="1" applyNumberFormat="1" applyFont="1" applyBorder="1" applyAlignment="1">
      <alignment horizontal="center" vertical="center"/>
    </xf>
    <xf numFmtId="10" fontId="29" fillId="0" borderId="5" xfId="1" applyNumberFormat="1" applyFont="1" applyBorder="1" applyAlignment="1">
      <alignment horizontal="center" vertical="center"/>
    </xf>
    <xf numFmtId="10" fontId="29" fillId="0" borderId="146" xfId="1" applyNumberFormat="1" applyFont="1" applyBorder="1" applyAlignment="1">
      <alignment horizontal="center" vertical="center"/>
    </xf>
    <xf numFmtId="10" fontId="29" fillId="0" borderId="137" xfId="1" applyNumberFormat="1" applyFont="1" applyBorder="1" applyAlignment="1">
      <alignment horizontal="center" vertical="center"/>
    </xf>
    <xf numFmtId="3" fontId="4" fillId="0" borderId="163" xfId="0" applyNumberFormat="1" applyFont="1" applyBorder="1" applyAlignment="1">
      <alignment horizontal="distributed" vertical="center" wrapText="1"/>
    </xf>
    <xf numFmtId="3" fontId="4" fillId="0" borderId="177" xfId="0" applyNumberFormat="1" applyFont="1" applyBorder="1" applyAlignment="1">
      <alignment horizontal="distributed" vertical="center" wrapText="1"/>
    </xf>
    <xf numFmtId="3" fontId="4" fillId="0" borderId="183" xfId="0" applyNumberFormat="1" applyFont="1" applyBorder="1" applyAlignment="1">
      <alignment horizontal="distributed" vertical="center" wrapText="1"/>
    </xf>
    <xf numFmtId="9" fontId="0" fillId="0" borderId="143" xfId="0" applyNumberFormat="1" applyFont="1" applyBorder="1" applyAlignment="1">
      <alignment horizontal="center" vertical="center"/>
    </xf>
    <xf numFmtId="9" fontId="0" fillId="0" borderId="100" xfId="0" applyNumberFormat="1" applyFont="1" applyBorder="1" applyAlignment="1">
      <alignment horizontal="center" vertical="center"/>
    </xf>
    <xf numFmtId="9" fontId="0" fillId="0" borderId="103" xfId="0" applyNumberFormat="1" applyFont="1" applyBorder="1" applyAlignment="1">
      <alignment horizontal="center" vertical="center"/>
    </xf>
    <xf numFmtId="0" fontId="12" fillId="15" borderId="89" xfId="0" applyFont="1" applyFill="1" applyBorder="1" applyAlignment="1">
      <alignment horizontal="center" vertical="center"/>
    </xf>
    <xf numFmtId="0" fontId="12" fillId="15" borderId="99" xfId="0" applyFont="1" applyFill="1" applyBorder="1" applyAlignment="1">
      <alignment horizontal="center" vertical="center"/>
    </xf>
    <xf numFmtId="10" fontId="12" fillId="15" borderId="122" xfId="1" applyNumberFormat="1" applyFont="1" applyFill="1" applyBorder="1" applyAlignment="1">
      <alignment horizontal="center" vertical="center" wrapText="1"/>
    </xf>
    <xf numFmtId="10" fontId="12" fillId="15" borderId="120" xfId="1" applyNumberFormat="1" applyFont="1" applyFill="1" applyBorder="1" applyAlignment="1">
      <alignment horizontal="center" vertical="center" wrapText="1"/>
    </xf>
    <xf numFmtId="10" fontId="12" fillId="15" borderId="123" xfId="1" applyNumberFormat="1" applyFont="1" applyFill="1" applyBorder="1" applyAlignment="1">
      <alignment horizontal="center" vertical="center" wrapText="1"/>
    </xf>
    <xf numFmtId="0" fontId="12" fillId="15" borderId="85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 vertical="center"/>
    </xf>
    <xf numFmtId="10" fontId="12" fillId="15" borderId="120" xfId="1" applyNumberFormat="1" applyFont="1" applyFill="1" applyBorder="1" applyAlignment="1">
      <alignment horizontal="center" vertical="center"/>
    </xf>
    <xf numFmtId="10" fontId="12" fillId="15" borderId="121" xfId="1" applyNumberFormat="1" applyFont="1" applyFill="1" applyBorder="1" applyAlignment="1">
      <alignment horizontal="center" vertical="center"/>
    </xf>
    <xf numFmtId="10" fontId="12" fillId="15" borderId="123" xfId="1" applyNumberFormat="1" applyFont="1" applyFill="1" applyBorder="1" applyAlignment="1">
      <alignment horizontal="center" vertical="center"/>
    </xf>
    <xf numFmtId="10" fontId="2" fillId="0" borderId="138" xfId="1" applyNumberFormat="1" applyFont="1" applyBorder="1" applyAlignment="1">
      <alignment horizontal="center" vertical="center"/>
    </xf>
    <xf numFmtId="10" fontId="2" fillId="0" borderId="32" xfId="1" applyNumberFormat="1" applyFont="1" applyBorder="1" applyAlignment="1">
      <alignment horizontal="center" vertical="center"/>
    </xf>
    <xf numFmtId="10" fontId="2" fillId="0" borderId="127" xfId="1" applyNumberFormat="1" applyFont="1" applyBorder="1" applyAlignment="1">
      <alignment horizontal="center" vertical="center"/>
    </xf>
    <xf numFmtId="10" fontId="2" fillId="0" borderId="139" xfId="1" applyNumberFormat="1" applyFont="1" applyBorder="1" applyAlignment="1">
      <alignment horizontal="center" vertical="center"/>
    </xf>
    <xf numFmtId="10" fontId="2" fillId="0" borderId="34" xfId="1" applyNumberFormat="1" applyFont="1" applyBorder="1" applyAlignment="1">
      <alignment horizontal="center" vertical="center"/>
    </xf>
    <xf numFmtId="10" fontId="2" fillId="0" borderId="128" xfId="1" applyNumberFormat="1" applyFont="1" applyBorder="1" applyAlignment="1">
      <alignment horizontal="center" vertical="center"/>
    </xf>
    <xf numFmtId="10" fontId="2" fillId="0" borderId="122" xfId="1" applyNumberFormat="1" applyFont="1" applyBorder="1" applyAlignment="1">
      <alignment horizontal="center" vertical="center"/>
    </xf>
    <xf numFmtId="10" fontId="2" fillId="0" borderId="63" xfId="1" applyNumberFormat="1" applyFont="1" applyBorder="1" applyAlignment="1">
      <alignment horizontal="center" vertical="center"/>
    </xf>
    <xf numFmtId="10" fontId="2" fillId="0" borderId="105" xfId="1" applyNumberFormat="1" applyFont="1" applyBorder="1" applyAlignment="1">
      <alignment horizontal="center" vertical="center"/>
    </xf>
    <xf numFmtId="10" fontId="2" fillId="0" borderId="120" xfId="1" applyNumberFormat="1" applyFont="1" applyBorder="1" applyAlignment="1">
      <alignment horizontal="center" vertical="center"/>
    </xf>
    <xf numFmtId="10" fontId="2" fillId="0" borderId="123" xfId="1" applyNumberFormat="1" applyFont="1" applyBorder="1" applyAlignment="1">
      <alignment horizontal="center" vertical="center"/>
    </xf>
    <xf numFmtId="10" fontId="2" fillId="0" borderId="65" xfId="1" applyNumberFormat="1" applyFont="1" applyBorder="1" applyAlignment="1">
      <alignment horizontal="center" vertical="center"/>
    </xf>
    <xf numFmtId="10" fontId="2" fillId="0" borderId="106" xfId="1" applyNumberFormat="1" applyFont="1" applyBorder="1" applyAlignment="1">
      <alignment horizontal="center" vertical="center"/>
    </xf>
    <xf numFmtId="10" fontId="2" fillId="0" borderId="171" xfId="1" applyNumberFormat="1" applyFont="1" applyBorder="1" applyAlignment="1">
      <alignment horizontal="center" vertical="center"/>
    </xf>
    <xf numFmtId="10" fontId="0" fillId="0" borderId="170" xfId="1" applyNumberFormat="1" applyFont="1" applyBorder="1" applyAlignment="1">
      <alignment horizontal="center" vertical="center"/>
    </xf>
    <xf numFmtId="10" fontId="0" fillId="0" borderId="164" xfId="1" applyNumberFormat="1" applyFont="1" applyBorder="1" applyAlignment="1">
      <alignment horizontal="center" vertical="center"/>
    </xf>
    <xf numFmtId="10" fontId="2" fillId="0" borderId="144" xfId="1" applyNumberFormat="1" applyFont="1" applyBorder="1" applyAlignment="1">
      <alignment horizontal="center" vertical="center"/>
    </xf>
    <xf numFmtId="10" fontId="2" fillId="0" borderId="136" xfId="1" applyNumberFormat="1" applyFont="1" applyBorder="1" applyAlignment="1">
      <alignment horizontal="center" vertical="center"/>
    </xf>
    <xf numFmtId="10" fontId="2" fillId="0" borderId="111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63" xfId="1" applyNumberFormat="1" applyFont="1" applyBorder="1" applyAlignment="1">
      <alignment horizontal="center" vertical="center"/>
    </xf>
    <xf numFmtId="10" fontId="0" fillId="0" borderId="68" xfId="1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10" fontId="0" fillId="0" borderId="5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66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10" fontId="0" fillId="0" borderId="75" xfId="1" applyNumberFormat="1" applyFont="1" applyBorder="1" applyAlignment="1">
      <alignment horizontal="center" vertical="center"/>
    </xf>
    <xf numFmtId="10" fontId="0" fillId="0" borderId="61" xfId="1" applyNumberFormat="1" applyFont="1" applyBorder="1" applyAlignment="1">
      <alignment horizontal="center" vertical="center"/>
    </xf>
    <xf numFmtId="10" fontId="0" fillId="0" borderId="77" xfId="1" applyNumberFormat="1" applyFont="1" applyBorder="1" applyAlignment="1">
      <alignment horizontal="center" vertical="center"/>
    </xf>
    <xf numFmtId="10" fontId="0" fillId="0" borderId="62" xfId="1" applyNumberFormat="1" applyFont="1" applyBorder="1" applyAlignment="1">
      <alignment horizontal="center" vertical="center"/>
    </xf>
    <xf numFmtId="10" fontId="0" fillId="0" borderId="76" xfId="1" applyNumberFormat="1" applyFont="1" applyBorder="1" applyAlignment="1">
      <alignment horizontal="center" vertical="center"/>
    </xf>
    <xf numFmtId="10" fontId="2" fillId="0" borderId="33" xfId="1" applyNumberFormat="1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/>
    </xf>
    <xf numFmtId="0" fontId="16" fillId="15" borderId="12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center"/>
    </xf>
    <xf numFmtId="0" fontId="6" fillId="15" borderId="197" xfId="0" applyFont="1" applyFill="1" applyBorder="1" applyAlignment="1">
      <alignment horizontal="center" vertical="center"/>
    </xf>
    <xf numFmtId="0" fontId="6" fillId="15" borderId="49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 wrapText="1"/>
    </xf>
    <xf numFmtId="0" fontId="6" fillId="15" borderId="54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/>
    </xf>
    <xf numFmtId="10" fontId="6" fillId="15" borderId="25" xfId="1" applyNumberFormat="1" applyFont="1" applyFill="1" applyBorder="1" applyAlignment="1">
      <alignment horizontal="center" vertical="center" wrapText="1"/>
    </xf>
    <xf numFmtId="10" fontId="6" fillId="15" borderId="25" xfId="1" applyNumberFormat="1" applyFont="1" applyFill="1" applyBorder="1" applyAlignment="1">
      <alignment horizontal="center" vertical="center"/>
    </xf>
    <xf numFmtId="10" fontId="6" fillId="15" borderId="26" xfId="1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9" fontId="0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0" fontId="0" fillId="0" borderId="26" xfId="1" applyNumberFormat="1" applyFont="1" applyFill="1" applyBorder="1" applyAlignment="1">
      <alignment horizontal="center" vertical="center"/>
    </xf>
    <xf numFmtId="10" fontId="0" fillId="0" borderId="34" xfId="1" applyNumberFormat="1" applyFont="1" applyFill="1" applyBorder="1" applyAlignment="1">
      <alignment horizontal="center" vertical="center"/>
    </xf>
    <xf numFmtId="10" fontId="0" fillId="0" borderId="41" xfId="1" applyNumberFormat="1" applyFont="1" applyFill="1" applyBorder="1" applyAlignment="1">
      <alignment horizontal="center" vertical="center"/>
    </xf>
    <xf numFmtId="3" fontId="4" fillId="0" borderId="140" xfId="0" applyNumberFormat="1" applyFont="1" applyBorder="1" applyAlignment="1">
      <alignment horizontal="center" vertical="center" wrapText="1"/>
    </xf>
    <xf numFmtId="3" fontId="4" fillId="0" borderId="100" xfId="0" applyNumberFormat="1" applyFont="1" applyBorder="1" applyAlignment="1">
      <alignment horizontal="center" vertical="center" wrapText="1"/>
    </xf>
    <xf numFmtId="3" fontId="4" fillId="0" borderId="103" xfId="0" applyNumberFormat="1" applyFont="1" applyBorder="1" applyAlignment="1">
      <alignment horizontal="center" vertical="center" wrapText="1"/>
    </xf>
    <xf numFmtId="3" fontId="4" fillId="0" borderId="143" xfId="0" applyNumberFormat="1" applyFont="1" applyBorder="1" applyAlignment="1">
      <alignment horizontal="center" vertical="center" wrapText="1"/>
    </xf>
    <xf numFmtId="3" fontId="4" fillId="0" borderId="101" xfId="0" applyNumberFormat="1" applyFont="1" applyBorder="1" applyAlignment="1">
      <alignment horizontal="center" vertical="center" wrapText="1"/>
    </xf>
    <xf numFmtId="9" fontId="0" fillId="0" borderId="120" xfId="0" applyNumberFormat="1" applyFont="1" applyBorder="1" applyAlignment="1">
      <alignment horizontal="center" vertical="center"/>
    </xf>
    <xf numFmtId="0" fontId="35" fillId="12" borderId="11" xfId="0" applyFont="1" applyFill="1" applyBorder="1" applyAlignment="1">
      <alignment horizontal="center"/>
    </xf>
    <xf numFmtId="0" fontId="35" fillId="12" borderId="12" xfId="0" applyFont="1" applyFill="1" applyBorder="1" applyAlignment="1">
      <alignment horizontal="center"/>
    </xf>
    <xf numFmtId="0" fontId="35" fillId="12" borderId="13" xfId="0" applyFont="1" applyFill="1" applyBorder="1" applyAlignment="1">
      <alignment horizontal="center"/>
    </xf>
    <xf numFmtId="0" fontId="12" fillId="15" borderId="79" xfId="0" applyFont="1" applyFill="1" applyBorder="1" applyAlignment="1">
      <alignment horizontal="center" vertical="center"/>
    </xf>
    <xf numFmtId="0" fontId="12" fillId="15" borderId="93" xfId="0" applyFont="1" applyFill="1" applyBorder="1" applyAlignment="1">
      <alignment horizontal="center" vertical="center"/>
    </xf>
    <xf numFmtId="0" fontId="12" fillId="15" borderId="80" xfId="0" applyFont="1" applyFill="1" applyBorder="1" applyAlignment="1">
      <alignment horizontal="center" vertical="center" wrapText="1"/>
    </xf>
    <xf numFmtId="0" fontId="12" fillId="15" borderId="78" xfId="0" applyFont="1" applyFill="1" applyBorder="1" applyAlignment="1">
      <alignment horizontal="center" vertical="center" wrapText="1"/>
    </xf>
    <xf numFmtId="0" fontId="12" fillId="15" borderId="88" xfId="0" applyFont="1" applyFill="1" applyBorder="1" applyAlignment="1">
      <alignment horizontal="center" vertical="center"/>
    </xf>
    <xf numFmtId="0" fontId="12" fillId="15" borderId="97" xfId="0" applyFont="1" applyFill="1" applyBorder="1" applyAlignment="1">
      <alignment horizontal="center" vertical="center"/>
    </xf>
    <xf numFmtId="10" fontId="12" fillId="15" borderId="138" xfId="1" applyNumberFormat="1" applyFont="1" applyFill="1" applyBorder="1" applyAlignment="1">
      <alignment horizontal="center" vertical="center" wrapText="1"/>
    </xf>
    <xf numFmtId="10" fontId="12" fillId="15" borderId="85" xfId="1" applyNumberFormat="1" applyFont="1" applyFill="1" applyBorder="1" applyAlignment="1">
      <alignment horizontal="center" vertical="center"/>
    </xf>
    <xf numFmtId="10" fontId="12" fillId="15" borderId="139" xfId="1" applyNumberFormat="1" applyFont="1" applyFill="1" applyBorder="1" applyAlignment="1">
      <alignment horizontal="center" vertical="center"/>
    </xf>
    <xf numFmtId="10" fontId="12" fillId="15" borderId="85" xfId="1" applyNumberFormat="1" applyFont="1" applyFill="1" applyBorder="1" applyAlignment="1">
      <alignment horizontal="center" vertical="center" wrapText="1"/>
    </xf>
    <xf numFmtId="10" fontId="12" fillId="15" borderId="139" xfId="1" applyNumberFormat="1" applyFont="1" applyFill="1" applyBorder="1" applyAlignment="1">
      <alignment horizontal="center" vertical="center" wrapText="1"/>
    </xf>
    <xf numFmtId="10" fontId="12" fillId="15" borderId="86" xfId="1" applyNumberFormat="1" applyFont="1" applyFill="1" applyBorder="1" applyAlignment="1">
      <alignment horizontal="center" vertical="center" wrapText="1"/>
    </xf>
    <xf numFmtId="10" fontId="0" fillId="0" borderId="122" xfId="1" applyNumberFormat="1" applyFont="1" applyBorder="1" applyAlignment="1">
      <alignment horizontal="center" vertical="center"/>
    </xf>
    <xf numFmtId="10" fontId="0" fillId="0" borderId="120" xfId="1" applyNumberFormat="1" applyFont="1" applyBorder="1" applyAlignment="1">
      <alignment horizontal="center" vertical="center"/>
    </xf>
    <xf numFmtId="10" fontId="2" fillId="0" borderId="61" xfId="1" applyNumberFormat="1" applyFont="1" applyBorder="1" applyAlignment="1">
      <alignment horizontal="center" vertical="center"/>
    </xf>
    <xf numFmtId="10" fontId="2" fillId="0" borderId="62" xfId="1" applyNumberFormat="1" applyFont="1" applyBorder="1" applyAlignment="1">
      <alignment horizontal="center" vertical="center"/>
    </xf>
    <xf numFmtId="10" fontId="2" fillId="0" borderId="68" xfId="1" applyNumberFormat="1" applyFont="1" applyBorder="1" applyAlignment="1">
      <alignment horizontal="center" vertical="center"/>
    </xf>
    <xf numFmtId="10" fontId="2" fillId="0" borderId="175" xfId="1" applyNumberFormat="1" applyFont="1" applyBorder="1" applyAlignment="1">
      <alignment horizontal="center" vertical="center"/>
    </xf>
    <xf numFmtId="10" fontId="2" fillId="0" borderId="174" xfId="1" applyNumberFormat="1" applyFont="1" applyBorder="1" applyAlignment="1">
      <alignment horizontal="center" vertical="center"/>
    </xf>
    <xf numFmtId="10" fontId="2" fillId="0" borderId="145" xfId="1" applyNumberFormat="1" applyFont="1" applyBorder="1" applyAlignment="1">
      <alignment horizontal="center" vertical="center"/>
    </xf>
    <xf numFmtId="10" fontId="2" fillId="0" borderId="184" xfId="1" applyNumberFormat="1" applyFont="1" applyBorder="1" applyAlignment="1">
      <alignment horizontal="center" vertical="center"/>
    </xf>
    <xf numFmtId="10" fontId="2" fillId="0" borderId="178" xfId="1" applyNumberFormat="1" applyFont="1" applyBorder="1" applyAlignment="1">
      <alignment horizontal="center" vertical="center"/>
    </xf>
    <xf numFmtId="10" fontId="2" fillId="0" borderId="179" xfId="1" applyNumberFormat="1" applyFont="1" applyBorder="1" applyAlignment="1">
      <alignment horizontal="center" vertical="center"/>
    </xf>
    <xf numFmtId="10" fontId="0" fillId="0" borderId="175" xfId="1" applyNumberFormat="1" applyFont="1" applyBorder="1" applyAlignment="1">
      <alignment horizontal="center" vertical="center"/>
    </xf>
    <xf numFmtId="10" fontId="0" fillId="0" borderId="174" xfId="1" applyNumberFormat="1" applyFont="1" applyBorder="1" applyAlignment="1">
      <alignment horizontal="center" vertical="center"/>
    </xf>
    <xf numFmtId="10" fontId="2" fillId="0" borderId="4" xfId="1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10" fontId="2" fillId="0" borderId="146" xfId="1" applyNumberFormat="1" applyFont="1" applyBorder="1" applyAlignment="1">
      <alignment horizontal="center" vertical="center"/>
    </xf>
    <xf numFmtId="10" fontId="2" fillId="0" borderId="10" xfId="1" applyNumberFormat="1" applyFont="1" applyBorder="1" applyAlignment="1">
      <alignment horizontal="center" vertical="center"/>
    </xf>
    <xf numFmtId="10" fontId="2" fillId="0" borderId="175" xfId="1" applyNumberFormat="1" applyFont="1" applyFill="1" applyBorder="1" applyAlignment="1">
      <alignment horizontal="center" vertical="center"/>
    </xf>
    <xf numFmtId="10" fontId="2" fillId="0" borderId="172" xfId="1" applyNumberFormat="1" applyFont="1" applyFill="1" applyBorder="1" applyAlignment="1">
      <alignment horizontal="center" vertical="center"/>
    </xf>
    <xf numFmtId="10" fontId="2" fillId="0" borderId="164" xfId="1" applyNumberFormat="1" applyFont="1" applyFill="1" applyBorder="1" applyAlignment="1">
      <alignment horizontal="center" vertical="center"/>
    </xf>
    <xf numFmtId="10" fontId="0" fillId="0" borderId="175" xfId="1" applyNumberFormat="1" applyFont="1" applyFill="1" applyBorder="1" applyAlignment="1">
      <alignment horizontal="center" vertical="center"/>
    </xf>
    <xf numFmtId="10" fontId="0" fillId="0" borderId="172" xfId="1" applyNumberFormat="1" applyFont="1" applyFill="1" applyBorder="1" applyAlignment="1">
      <alignment horizontal="center" vertical="center"/>
    </xf>
    <xf numFmtId="10" fontId="0" fillId="0" borderId="164" xfId="1" applyNumberFormat="1" applyFont="1" applyFill="1" applyBorder="1" applyAlignment="1">
      <alignment horizontal="center" vertical="center"/>
    </xf>
    <xf numFmtId="10" fontId="0" fillId="0" borderId="105" xfId="1" applyNumberFormat="1" applyFont="1" applyBorder="1" applyAlignment="1">
      <alignment horizontal="center" vertical="center"/>
    </xf>
    <xf numFmtId="10" fontId="0" fillId="0" borderId="98" xfId="1" applyNumberFormat="1" applyFont="1" applyBorder="1" applyAlignment="1">
      <alignment horizontal="center" vertical="center"/>
    </xf>
    <xf numFmtId="10" fontId="2" fillId="0" borderId="146" xfId="1" applyNumberFormat="1" applyFont="1" applyFill="1" applyBorder="1" applyAlignment="1">
      <alignment horizontal="center" vertical="center"/>
    </xf>
    <xf numFmtId="10" fontId="2" fillId="0" borderId="136" xfId="1" applyNumberFormat="1" applyFont="1" applyFill="1" applyBorder="1" applyAlignment="1">
      <alignment horizontal="center" vertical="center"/>
    </xf>
    <xf numFmtId="10" fontId="2" fillId="0" borderId="111" xfId="1" applyNumberFormat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10" fontId="2" fillId="0" borderId="178" xfId="1" applyNumberFormat="1" applyFont="1" applyFill="1" applyBorder="1" applyAlignment="1">
      <alignment horizontal="center" vertical="center"/>
    </xf>
    <xf numFmtId="10" fontId="2" fillId="0" borderId="159" xfId="1" applyNumberFormat="1" applyFont="1" applyFill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9" fontId="0" fillId="0" borderId="51" xfId="0" applyNumberFormat="1" applyFont="1" applyBorder="1" applyAlignment="1">
      <alignment horizontal="center" vertical="center"/>
    </xf>
    <xf numFmtId="9" fontId="4" fillId="0" borderId="46" xfId="0" applyNumberFormat="1" applyFont="1" applyBorder="1" applyAlignment="1">
      <alignment horizontal="center" vertical="center"/>
    </xf>
    <xf numFmtId="9" fontId="4" fillId="0" borderId="50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9" fontId="0" fillId="0" borderId="71" xfId="0" applyNumberFormat="1" applyFont="1" applyBorder="1" applyAlignment="1">
      <alignment horizontal="center" vertical="center"/>
    </xf>
    <xf numFmtId="9" fontId="0" fillId="0" borderId="67" xfId="0" applyNumberFormat="1" applyFont="1" applyBorder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17" fillId="4" borderId="73" xfId="0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 wrapText="1"/>
    </xf>
    <xf numFmtId="10" fontId="17" fillId="4" borderId="73" xfId="1" applyNumberFormat="1" applyFont="1" applyFill="1" applyBorder="1" applyAlignment="1">
      <alignment horizontal="center" vertical="center" wrapText="1"/>
    </xf>
    <xf numFmtId="10" fontId="17" fillId="4" borderId="73" xfId="1" applyNumberFormat="1" applyFont="1" applyFill="1" applyBorder="1" applyAlignment="1">
      <alignment horizontal="center" vertical="center"/>
    </xf>
    <xf numFmtId="10" fontId="42" fillId="0" borderId="175" xfId="1" applyNumberFormat="1" applyFont="1" applyBorder="1" applyAlignment="1">
      <alignment horizontal="center" vertical="center"/>
    </xf>
    <xf numFmtId="10" fontId="42" fillId="0" borderId="172" xfId="1" applyNumberFormat="1" applyFont="1" applyBorder="1" applyAlignment="1">
      <alignment horizontal="center" vertical="center"/>
    </xf>
    <xf numFmtId="10" fontId="42" fillId="0" borderId="174" xfId="1" applyNumberFormat="1" applyFont="1" applyBorder="1" applyAlignment="1">
      <alignment horizontal="center" vertical="center"/>
    </xf>
    <xf numFmtId="10" fontId="4" fillId="0" borderId="10" xfId="1" applyNumberFormat="1" applyFont="1" applyBorder="1" applyAlignment="1">
      <alignment horizontal="center" vertical="center"/>
    </xf>
    <xf numFmtId="10" fontId="4" fillId="0" borderId="178" xfId="1" applyNumberFormat="1" applyFont="1" applyBorder="1" applyAlignment="1">
      <alignment horizontal="center" vertical="center"/>
    </xf>
    <xf numFmtId="10" fontId="4" fillId="0" borderId="179" xfId="1" applyNumberFormat="1" applyFont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3" fontId="4" fillId="0" borderId="140" xfId="0" applyNumberFormat="1" applyFont="1" applyFill="1" applyBorder="1" applyAlignment="1">
      <alignment horizontal="center" vertical="center" wrapText="1"/>
    </xf>
    <xf numFmtId="3" fontId="4" fillId="0" borderId="100" xfId="0" applyNumberFormat="1" applyFont="1" applyFill="1" applyBorder="1" applyAlignment="1">
      <alignment horizontal="center" vertical="center" wrapText="1"/>
    </xf>
    <xf numFmtId="3" fontId="4" fillId="0" borderId="101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/>
    </xf>
    <xf numFmtId="9" fontId="4" fillId="0" borderId="64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10" fontId="4" fillId="0" borderId="24" xfId="1" applyNumberFormat="1" applyFont="1" applyBorder="1" applyAlignment="1">
      <alignment horizontal="center" vertical="center"/>
    </xf>
    <xf numFmtId="10" fontId="4" fillId="0" borderId="32" xfId="1" applyNumberFormat="1" applyFont="1" applyBorder="1" applyAlignment="1">
      <alignment horizontal="center" vertical="center"/>
    </xf>
    <xf numFmtId="10" fontId="4" fillId="0" borderId="39" xfId="1" applyNumberFormat="1" applyFont="1" applyBorder="1" applyAlignment="1">
      <alignment horizontal="center" vertical="center"/>
    </xf>
    <xf numFmtId="10" fontId="2" fillId="0" borderId="40" xfId="1" applyNumberFormat="1" applyFont="1" applyBorder="1" applyAlignment="1">
      <alignment horizontal="center" vertical="center"/>
    </xf>
    <xf numFmtId="10" fontId="2" fillId="0" borderId="26" xfId="1" applyNumberFormat="1" applyFont="1" applyBorder="1" applyAlignment="1">
      <alignment horizontal="center" vertical="center"/>
    </xf>
    <xf numFmtId="10" fontId="2" fillId="0" borderId="41" xfId="1" applyNumberFormat="1" applyFont="1" applyBorder="1" applyAlignment="1">
      <alignment horizontal="center" vertical="center"/>
    </xf>
    <xf numFmtId="10" fontId="2" fillId="0" borderId="9" xfId="1" applyNumberFormat="1" applyFont="1" applyBorder="1" applyAlignment="1">
      <alignment horizontal="center" vertical="center"/>
    </xf>
    <xf numFmtId="10" fontId="2" fillId="0" borderId="66" xfId="1" applyNumberFormat="1" applyFont="1" applyBorder="1" applyAlignment="1">
      <alignment horizontal="center" vertical="center"/>
    </xf>
    <xf numFmtId="10" fontId="2" fillId="0" borderId="70" xfId="1" applyNumberFormat="1" applyFont="1" applyBorder="1" applyAlignment="1">
      <alignment horizontal="center" vertical="center"/>
    </xf>
    <xf numFmtId="10" fontId="2" fillId="0" borderId="24" xfId="1" applyNumberFormat="1" applyFont="1" applyBorder="1" applyAlignment="1">
      <alignment horizontal="center" vertical="center"/>
    </xf>
    <xf numFmtId="10" fontId="2" fillId="0" borderId="39" xfId="1" applyNumberFormat="1" applyFont="1" applyBorder="1" applyAlignment="1">
      <alignment horizontal="center" vertical="center"/>
    </xf>
    <xf numFmtId="10" fontId="2" fillId="0" borderId="47" xfId="1" applyNumberFormat="1" applyFont="1" applyBorder="1" applyAlignment="1">
      <alignment horizontal="center" vertical="center"/>
    </xf>
    <xf numFmtId="10" fontId="2" fillId="0" borderId="35" xfId="1" applyNumberFormat="1" applyFont="1" applyBorder="1" applyAlignment="1">
      <alignment horizontal="center" vertical="center"/>
    </xf>
    <xf numFmtId="10" fontId="2" fillId="0" borderId="42" xfId="1" applyNumberFormat="1" applyFont="1" applyBorder="1" applyAlignment="1">
      <alignment horizontal="center" vertical="center"/>
    </xf>
    <xf numFmtId="10" fontId="2" fillId="0" borderId="137" xfId="1" applyNumberFormat="1" applyFont="1" applyBorder="1" applyAlignment="1">
      <alignment horizontal="center" vertical="center"/>
    </xf>
    <xf numFmtId="10" fontId="2" fillId="0" borderId="109" xfId="1" applyNumberFormat="1" applyFont="1" applyBorder="1" applyAlignment="1">
      <alignment horizontal="center" vertical="center"/>
    </xf>
    <xf numFmtId="10" fontId="2" fillId="0" borderId="110" xfId="1" applyNumberFormat="1" applyFont="1" applyBorder="1" applyAlignment="1">
      <alignment horizontal="center" vertical="center"/>
    </xf>
    <xf numFmtId="10" fontId="2" fillId="0" borderId="168" xfId="1" applyNumberFormat="1" applyFont="1" applyBorder="1" applyAlignment="1">
      <alignment horizontal="center" vertical="center"/>
    </xf>
    <xf numFmtId="10" fontId="2" fillId="0" borderId="167" xfId="1" applyNumberFormat="1" applyFont="1" applyBorder="1" applyAlignment="1">
      <alignment horizontal="center" vertical="center"/>
    </xf>
    <xf numFmtId="10" fontId="42" fillId="0" borderId="168" xfId="1" applyNumberFormat="1" applyFont="1" applyBorder="1" applyAlignment="1">
      <alignment horizontal="center" vertical="center"/>
    </xf>
    <xf numFmtId="10" fontId="42" fillId="0" borderId="166" xfId="1" applyNumberFormat="1" applyFont="1" applyBorder="1" applyAlignment="1">
      <alignment horizontal="center" vertical="center"/>
    </xf>
    <xf numFmtId="10" fontId="42" fillId="0" borderId="167" xfId="1" applyNumberFormat="1" applyFont="1" applyBorder="1" applyAlignment="1">
      <alignment horizontal="center" vertical="center"/>
    </xf>
    <xf numFmtId="10" fontId="4" fillId="0" borderId="29" xfId="1" applyNumberFormat="1" applyFont="1" applyBorder="1" applyAlignment="1">
      <alignment horizontal="center" vertical="center"/>
    </xf>
    <xf numFmtId="10" fontId="4" fillId="0" borderId="38" xfId="1" applyNumberFormat="1" applyFont="1" applyBorder="1" applyAlignment="1">
      <alignment horizontal="center" vertical="center"/>
    </xf>
    <xf numFmtId="10" fontId="4" fillId="0" borderId="45" xfId="1" applyNumberFormat="1" applyFont="1" applyBorder="1" applyAlignment="1">
      <alignment horizontal="center" vertical="center"/>
    </xf>
    <xf numFmtId="3" fontId="4" fillId="0" borderId="143" xfId="0" applyNumberFormat="1" applyFont="1" applyFill="1" applyBorder="1" applyAlignment="1">
      <alignment horizontal="center" vertical="center" wrapText="1"/>
    </xf>
    <xf numFmtId="9" fontId="8" fillId="0" borderId="120" xfId="1" applyFont="1" applyFill="1" applyBorder="1" applyAlignment="1">
      <alignment horizontal="center" vertical="center" wrapText="1"/>
    </xf>
    <xf numFmtId="9" fontId="8" fillId="0" borderId="64" xfId="1" applyFont="1" applyFill="1" applyBorder="1" applyAlignment="1">
      <alignment horizontal="center" vertical="center" wrapText="1"/>
    </xf>
    <xf numFmtId="9" fontId="8" fillId="0" borderId="61" xfId="1" applyFont="1" applyFill="1" applyBorder="1" applyAlignment="1">
      <alignment horizontal="center" vertical="center" wrapText="1"/>
    </xf>
    <xf numFmtId="10" fontId="4" fillId="0" borderId="138" xfId="1" applyNumberFormat="1" applyFont="1" applyBorder="1" applyAlignment="1">
      <alignment horizontal="center" vertical="center"/>
    </xf>
    <xf numFmtId="10" fontId="4" fillId="0" borderId="54" xfId="1" applyNumberFormat="1" applyFont="1" applyBorder="1" applyAlignment="1">
      <alignment horizontal="center" vertical="center"/>
    </xf>
    <xf numFmtId="10" fontId="2" fillId="0" borderId="55" xfId="1" applyNumberFormat="1" applyFont="1" applyBorder="1" applyAlignment="1">
      <alignment horizontal="center" vertical="center"/>
    </xf>
    <xf numFmtId="10" fontId="2" fillId="0" borderId="56" xfId="1" applyNumberFormat="1" applyFont="1" applyBorder="1" applyAlignment="1">
      <alignment horizontal="center" vertical="center"/>
    </xf>
    <xf numFmtId="10" fontId="2" fillId="0" borderId="170" xfId="1" applyNumberFormat="1" applyFont="1" applyBorder="1" applyAlignment="1">
      <alignment horizontal="center" vertical="center"/>
    </xf>
    <xf numFmtId="10" fontId="42" fillId="0" borderId="165" xfId="1" applyNumberFormat="1" applyFont="1" applyBorder="1" applyAlignment="1">
      <alignment horizontal="center" vertical="center"/>
    </xf>
    <xf numFmtId="10" fontId="42" fillId="0" borderId="170" xfId="1" applyNumberFormat="1" applyFont="1" applyBorder="1" applyAlignment="1">
      <alignment horizontal="center" vertical="center"/>
    </xf>
    <xf numFmtId="10" fontId="4" fillId="0" borderId="72" xfId="1" applyNumberFormat="1" applyFont="1" applyBorder="1" applyAlignment="1">
      <alignment horizontal="center" vertical="center"/>
    </xf>
    <xf numFmtId="10" fontId="4" fillId="0" borderId="162" xfId="1" applyNumberFormat="1" applyFont="1" applyBorder="1" applyAlignment="1">
      <alignment horizontal="center" vertical="center"/>
    </xf>
    <xf numFmtId="10" fontId="2" fillId="0" borderId="96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10" fontId="2" fillId="0" borderId="57" xfId="1" applyNumberFormat="1" applyFont="1" applyBorder="1" applyAlignment="1">
      <alignment horizontal="center" vertical="center"/>
    </xf>
    <xf numFmtId="10" fontId="2" fillId="0" borderId="43" xfId="1" applyNumberFormat="1" applyFont="1" applyBorder="1" applyAlignment="1">
      <alignment horizontal="center" vertical="center"/>
    </xf>
    <xf numFmtId="10" fontId="2" fillId="0" borderId="95" xfId="1" applyNumberFormat="1" applyFont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 vertical="center"/>
    </xf>
    <xf numFmtId="10" fontId="2" fillId="0" borderId="161" xfId="1" applyNumberFormat="1" applyFont="1" applyBorder="1" applyAlignment="1">
      <alignment horizontal="center" vertical="center"/>
    </xf>
    <xf numFmtId="10" fontId="2" fillId="0" borderId="44" xfId="1" applyNumberFormat="1" applyFont="1" applyBorder="1" applyAlignment="1">
      <alignment horizontal="center" vertical="center"/>
    </xf>
    <xf numFmtId="10" fontId="2" fillId="0" borderId="54" xfId="1" applyNumberFormat="1" applyFont="1" applyBorder="1" applyAlignment="1">
      <alignment horizontal="center" vertical="center"/>
    </xf>
    <xf numFmtId="10" fontId="2" fillId="0" borderId="176" xfId="1" applyNumberFormat="1" applyFont="1" applyBorder="1" applyAlignment="1">
      <alignment horizontal="center" vertical="center"/>
    </xf>
    <xf numFmtId="10" fontId="2" fillId="0" borderId="135" xfId="1" applyNumberFormat="1" applyFont="1" applyBorder="1" applyAlignment="1">
      <alignment horizontal="center" vertical="center"/>
    </xf>
    <xf numFmtId="0" fontId="17" fillId="15" borderId="89" xfId="0" applyFont="1" applyFill="1" applyBorder="1" applyAlignment="1">
      <alignment horizontal="center" vertical="center"/>
    </xf>
    <xf numFmtId="0" fontId="17" fillId="15" borderId="90" xfId="0" applyFont="1" applyFill="1" applyBorder="1" applyAlignment="1">
      <alignment horizontal="center" vertical="center"/>
    </xf>
    <xf numFmtId="0" fontId="23" fillId="15" borderId="85" xfId="0" applyFont="1" applyFill="1" applyBorder="1" applyAlignment="1">
      <alignment horizontal="center" vertical="center" wrapText="1"/>
    </xf>
    <xf numFmtId="0" fontId="23" fillId="15" borderId="91" xfId="0" applyFont="1" applyFill="1" applyBorder="1" applyAlignment="1">
      <alignment horizontal="center" vertical="center" wrapText="1"/>
    </xf>
    <xf numFmtId="0" fontId="17" fillId="15" borderId="94" xfId="0" applyFont="1" applyFill="1" applyBorder="1" applyAlignment="1">
      <alignment horizontal="center" vertical="center"/>
    </xf>
    <xf numFmtId="0" fontId="17" fillId="15" borderId="117" xfId="0" applyFont="1" applyFill="1" applyBorder="1" applyAlignment="1">
      <alignment horizontal="center" vertical="center"/>
    </xf>
    <xf numFmtId="10" fontId="17" fillId="15" borderId="138" xfId="1" applyNumberFormat="1" applyFont="1" applyFill="1" applyBorder="1" applyAlignment="1">
      <alignment horizontal="center" vertical="center" wrapText="1"/>
    </xf>
    <xf numFmtId="10" fontId="17" fillId="15" borderId="85" xfId="1" applyNumberFormat="1" applyFont="1" applyFill="1" applyBorder="1" applyAlignment="1">
      <alignment horizontal="center" vertical="center"/>
    </xf>
    <xf numFmtId="10" fontId="17" fillId="15" borderId="139" xfId="1" applyNumberFormat="1" applyFont="1" applyFill="1" applyBorder="1" applyAlignment="1">
      <alignment horizontal="center" vertical="center"/>
    </xf>
    <xf numFmtId="10" fontId="17" fillId="15" borderId="85" xfId="1" applyNumberFormat="1" applyFont="1" applyFill="1" applyBorder="1" applyAlignment="1">
      <alignment horizontal="center" vertical="center" wrapText="1"/>
    </xf>
    <xf numFmtId="10" fontId="17" fillId="15" borderId="139" xfId="1" applyNumberFormat="1" applyFont="1" applyFill="1" applyBorder="1" applyAlignment="1">
      <alignment horizontal="center" vertical="center" wrapText="1"/>
    </xf>
    <xf numFmtId="10" fontId="17" fillId="15" borderId="86" xfId="1" applyNumberFormat="1" applyFont="1" applyFill="1" applyBorder="1" applyAlignment="1">
      <alignment horizontal="center" vertical="center" wrapText="1"/>
    </xf>
    <xf numFmtId="10" fontId="0" fillId="0" borderId="4" xfId="0" applyNumberFormat="1" applyFont="1" applyFill="1" applyBorder="1" applyAlignment="1">
      <alignment horizontal="center" vertical="center"/>
    </xf>
    <xf numFmtId="10" fontId="0" fillId="0" borderId="64" xfId="0" applyNumberFormat="1" applyFont="1" applyFill="1" applyBorder="1" applyAlignment="1">
      <alignment horizontal="center" vertical="center"/>
    </xf>
    <xf numFmtId="10" fontId="0" fillId="0" borderId="61" xfId="0" applyNumberFormat="1" applyFont="1" applyFill="1" applyBorder="1" applyAlignment="1">
      <alignment horizontal="center" vertical="center"/>
    </xf>
    <xf numFmtId="0" fontId="6" fillId="15" borderId="79" xfId="0" applyFont="1" applyFill="1" applyBorder="1" applyAlignment="1">
      <alignment horizontal="center" vertical="center"/>
    </xf>
    <xf numFmtId="0" fontId="6" fillId="15" borderId="93" xfId="0" applyFont="1" applyFill="1" applyBorder="1" applyAlignment="1">
      <alignment horizontal="center" vertical="center"/>
    </xf>
    <xf numFmtId="0" fontId="6" fillId="15" borderId="88" xfId="0" applyFont="1" applyFill="1" applyBorder="1" applyAlignment="1">
      <alignment horizontal="center" vertical="center" wrapText="1"/>
    </xf>
    <xf numFmtId="0" fontId="6" fillId="15" borderId="97" xfId="0" applyFont="1" applyFill="1" applyBorder="1" applyAlignment="1">
      <alignment horizontal="center" vertical="center" wrapText="1"/>
    </xf>
    <xf numFmtId="10" fontId="2" fillId="0" borderId="141" xfId="1" applyNumberFormat="1" applyFont="1" applyBorder="1" applyAlignment="1">
      <alignment horizontal="center" vertical="center"/>
    </xf>
    <xf numFmtId="10" fontId="2" fillId="0" borderId="142" xfId="1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10" fontId="2" fillId="0" borderId="69" xfId="1" applyNumberFormat="1" applyFont="1" applyBorder="1" applyAlignment="1">
      <alignment horizontal="center" vertical="center"/>
    </xf>
    <xf numFmtId="10" fontId="2" fillId="0" borderId="60" xfId="1" applyNumberFormat="1" applyFont="1" applyBorder="1" applyAlignment="1">
      <alignment horizontal="center" vertical="center"/>
    </xf>
    <xf numFmtId="10" fontId="5" fillId="0" borderId="175" xfId="1" applyNumberFormat="1" applyFont="1" applyFill="1" applyBorder="1" applyAlignment="1">
      <alignment horizontal="center" vertical="center" wrapText="1"/>
    </xf>
    <xf numFmtId="10" fontId="5" fillId="0" borderId="174" xfId="1" applyNumberFormat="1" applyFont="1" applyFill="1" applyBorder="1" applyAlignment="1">
      <alignment horizontal="center" vertical="center" wrapText="1"/>
    </xf>
    <xf numFmtId="10" fontId="39" fillId="0" borderId="4" xfId="1" applyNumberFormat="1" applyFont="1" applyFill="1" applyBorder="1" applyAlignment="1">
      <alignment horizontal="center" vertical="center" wrapText="1"/>
    </xf>
    <xf numFmtId="10" fontId="39" fillId="0" borderId="61" xfId="1" applyNumberFormat="1" applyFont="1" applyFill="1" applyBorder="1" applyAlignment="1">
      <alignment horizontal="center" vertical="center" wrapText="1"/>
    </xf>
    <xf numFmtId="10" fontId="39" fillId="0" borderId="141" xfId="1" applyNumberFormat="1" applyFont="1" applyFill="1" applyBorder="1" applyAlignment="1">
      <alignment horizontal="center" vertical="center" wrapText="1"/>
    </xf>
    <xf numFmtId="10" fontId="39" fillId="0" borderId="142" xfId="1" applyNumberFormat="1" applyFont="1" applyFill="1" applyBorder="1" applyAlignment="1">
      <alignment horizontal="center" vertical="center" wrapText="1"/>
    </xf>
    <xf numFmtId="10" fontId="39" fillId="0" borderId="175" xfId="1" applyNumberFormat="1" applyFont="1" applyFill="1" applyBorder="1" applyAlignment="1">
      <alignment horizontal="center" vertical="center" wrapText="1"/>
    </xf>
    <xf numFmtId="10" fontId="39" fillId="0" borderId="174" xfId="1" applyNumberFormat="1" applyFont="1" applyFill="1" applyBorder="1" applyAlignment="1">
      <alignment horizontal="center" vertical="center" wrapText="1"/>
    </xf>
    <xf numFmtId="10" fontId="0" fillId="0" borderId="175" xfId="0" applyNumberFormat="1" applyFont="1" applyFill="1" applyBorder="1" applyAlignment="1">
      <alignment horizontal="center" vertical="center"/>
    </xf>
    <xf numFmtId="10" fontId="0" fillId="0" borderId="174" xfId="0" applyNumberFormat="1" applyFont="1" applyFill="1" applyBorder="1" applyAlignment="1">
      <alignment horizontal="center" vertical="center"/>
    </xf>
    <xf numFmtId="10" fontId="39" fillId="6" borderId="4" xfId="1" applyNumberFormat="1" applyFont="1" applyFill="1" applyBorder="1" applyAlignment="1">
      <alignment horizontal="center" vertical="center" wrapText="1"/>
    </xf>
    <xf numFmtId="10" fontId="39" fillId="6" borderId="61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/>
    </xf>
    <xf numFmtId="10" fontId="2" fillId="0" borderId="61" xfId="0" applyNumberFormat="1" applyFont="1" applyFill="1" applyBorder="1" applyAlignment="1">
      <alignment horizontal="center" vertical="center"/>
    </xf>
    <xf numFmtId="10" fontId="2" fillId="0" borderId="141" xfId="0" applyNumberFormat="1" applyFont="1" applyFill="1" applyBorder="1" applyAlignment="1">
      <alignment horizontal="center" vertical="center"/>
    </xf>
    <xf numFmtId="10" fontId="2" fillId="0" borderId="142" xfId="0" applyNumberFormat="1" applyFont="1" applyFill="1" applyBorder="1" applyAlignment="1">
      <alignment horizontal="center" vertical="center"/>
    </xf>
    <xf numFmtId="10" fontId="2" fillId="0" borderId="175" xfId="0" applyNumberFormat="1" applyFont="1" applyFill="1" applyBorder="1" applyAlignment="1">
      <alignment horizontal="center" vertical="center"/>
    </xf>
    <xf numFmtId="10" fontId="2" fillId="0" borderId="174" xfId="0" applyNumberFormat="1" applyFont="1" applyFill="1" applyBorder="1" applyAlignment="1">
      <alignment horizontal="center" vertical="center"/>
    </xf>
    <xf numFmtId="10" fontId="2" fillId="6" borderId="4" xfId="0" applyNumberFormat="1" applyFont="1" applyFill="1" applyBorder="1" applyAlignment="1">
      <alignment horizontal="center" vertical="center"/>
    </xf>
    <xf numFmtId="10" fontId="2" fillId="6" borderId="61" xfId="0" applyNumberFormat="1" applyFont="1" applyFill="1" applyBorder="1" applyAlignment="1">
      <alignment horizontal="center" vertical="center"/>
    </xf>
    <xf numFmtId="3" fontId="4" fillId="0" borderId="140" xfId="0" applyNumberFormat="1" applyFont="1" applyFill="1" applyBorder="1" applyAlignment="1">
      <alignment horizontal="left" vertical="center" wrapText="1"/>
    </xf>
    <xf numFmtId="3" fontId="4" fillId="0" borderId="101" xfId="0" applyNumberFormat="1" applyFont="1" applyFill="1" applyBorder="1" applyAlignment="1">
      <alignment horizontal="left" vertical="center" wrapText="1"/>
    </xf>
    <xf numFmtId="10" fontId="39" fillId="6" borderId="120" xfId="1" applyNumberFormat="1" applyFont="1" applyFill="1" applyBorder="1" applyAlignment="1">
      <alignment horizontal="center" vertical="center" wrapText="1"/>
    </xf>
    <xf numFmtId="10" fontId="39" fillId="6" borderId="64" xfId="1" applyNumberFormat="1" applyFont="1" applyFill="1" applyBorder="1" applyAlignment="1">
      <alignment horizontal="center" vertical="center" wrapText="1"/>
    </xf>
    <xf numFmtId="10" fontId="39" fillId="0" borderId="120" xfId="1" applyNumberFormat="1" applyFont="1" applyFill="1" applyBorder="1" applyAlignment="1">
      <alignment horizontal="center" vertical="center" wrapText="1"/>
    </xf>
    <xf numFmtId="10" fontId="39" fillId="0" borderId="64" xfId="1" applyNumberFormat="1" applyFont="1" applyFill="1" applyBorder="1" applyAlignment="1">
      <alignment horizontal="center" vertical="center" wrapText="1"/>
    </xf>
    <xf numFmtId="10" fontId="33" fillId="0" borderId="120" xfId="1" applyNumberFormat="1" applyFont="1" applyFill="1" applyBorder="1" applyAlignment="1">
      <alignment horizontal="center" vertical="center" wrapText="1"/>
    </xf>
    <xf numFmtId="10" fontId="33" fillId="0" borderId="64" xfId="1" applyNumberFormat="1" applyFont="1" applyFill="1" applyBorder="1" applyAlignment="1">
      <alignment horizontal="center" vertical="center" wrapText="1"/>
    </xf>
    <xf numFmtId="10" fontId="33" fillId="0" borderId="61" xfId="1" applyNumberFormat="1" applyFont="1" applyFill="1" applyBorder="1" applyAlignment="1">
      <alignment horizontal="center" vertical="center" wrapText="1"/>
    </xf>
    <xf numFmtId="0" fontId="41" fillId="12" borderId="11" xfId="0" applyFont="1" applyFill="1" applyBorder="1" applyAlignment="1">
      <alignment horizontal="center"/>
    </xf>
    <xf numFmtId="0" fontId="41" fillId="12" borderId="12" xfId="0" applyFont="1" applyFill="1" applyBorder="1" applyAlignment="1">
      <alignment horizontal="center"/>
    </xf>
    <xf numFmtId="0" fontId="41" fillId="12" borderId="13" xfId="0" applyFont="1" applyFill="1" applyBorder="1" applyAlignment="1">
      <alignment horizontal="center"/>
    </xf>
    <xf numFmtId="0" fontId="6" fillId="15" borderId="99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 wrapText="1"/>
    </xf>
    <xf numFmtId="3" fontId="4" fillId="0" borderId="143" xfId="0" applyNumberFormat="1" applyFont="1" applyFill="1" applyBorder="1" applyAlignment="1">
      <alignment horizontal="left" vertical="center" wrapText="1"/>
    </xf>
    <xf numFmtId="3" fontId="4" fillId="0" borderId="100" xfId="0" applyNumberFormat="1" applyFont="1" applyFill="1" applyBorder="1" applyAlignment="1">
      <alignment horizontal="left" vertical="center" wrapText="1"/>
    </xf>
    <xf numFmtId="10" fontId="0" fillId="0" borderId="120" xfId="0" applyNumberFormat="1" applyFont="1" applyFill="1" applyBorder="1" applyAlignment="1">
      <alignment horizontal="center" vertical="center"/>
    </xf>
    <xf numFmtId="10" fontId="2" fillId="0" borderId="124" xfId="1" applyNumberFormat="1" applyFont="1" applyBorder="1" applyAlignment="1">
      <alignment horizontal="center" vertical="center"/>
    </xf>
    <xf numFmtId="0" fontId="41" fillId="12" borderId="82" xfId="0" applyFont="1" applyFill="1" applyBorder="1" applyAlignment="1">
      <alignment horizontal="center"/>
    </xf>
    <xf numFmtId="0" fontId="41" fillId="12" borderId="83" xfId="0" applyFont="1" applyFill="1" applyBorder="1" applyAlignment="1">
      <alignment horizontal="center"/>
    </xf>
    <xf numFmtId="0" fontId="41" fillId="12" borderId="84" xfId="0" applyFont="1" applyFill="1" applyBorder="1" applyAlignment="1">
      <alignment horizontal="center"/>
    </xf>
    <xf numFmtId="3" fontId="4" fillId="0" borderId="99" xfId="0" applyNumberFormat="1" applyFont="1" applyFill="1" applyBorder="1" applyAlignment="1">
      <alignment horizontal="center" vertical="center" wrapText="1"/>
    </xf>
    <xf numFmtId="3" fontId="4" fillId="0" borderId="103" xfId="0" applyNumberFormat="1" applyFont="1" applyFill="1" applyBorder="1" applyAlignment="1">
      <alignment horizontal="center" vertical="center" wrapText="1"/>
    </xf>
    <xf numFmtId="9" fontId="0" fillId="0" borderId="55" xfId="0" applyNumberFormat="1" applyFont="1" applyFill="1" applyBorder="1" applyAlignment="1">
      <alignment horizontal="center" vertical="center"/>
    </xf>
    <xf numFmtId="9" fontId="0" fillId="0" borderId="98" xfId="0" applyNumberFormat="1" applyFont="1" applyFill="1" applyBorder="1" applyAlignment="1">
      <alignment horizontal="center" vertical="center"/>
    </xf>
    <xf numFmtId="10" fontId="2" fillId="0" borderId="125" xfId="1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9" fontId="4" fillId="0" borderId="49" xfId="0" applyNumberFormat="1" applyFont="1" applyBorder="1" applyAlignment="1">
      <alignment horizontal="center" vertical="center"/>
    </xf>
    <xf numFmtId="9" fontId="4" fillId="0" borderId="51" xfId="0" applyNumberFormat="1" applyFont="1" applyBorder="1" applyAlignment="1">
      <alignment horizontal="center" vertical="center"/>
    </xf>
    <xf numFmtId="0" fontId="37" fillId="12" borderId="3" xfId="0" applyFont="1" applyFill="1" applyBorder="1" applyAlignment="1">
      <alignment horizontal="center"/>
    </xf>
    <xf numFmtId="0" fontId="37" fillId="12" borderId="4" xfId="0" applyFont="1" applyFill="1" applyBorder="1" applyAlignment="1">
      <alignment horizontal="center"/>
    </xf>
    <xf numFmtId="0" fontId="37" fillId="12" borderId="17" xfId="0" applyFont="1" applyFill="1" applyBorder="1" applyAlignment="1">
      <alignment horizontal="center"/>
    </xf>
    <xf numFmtId="0" fontId="37" fillId="12" borderId="18" xfId="0" applyFont="1" applyFill="1" applyBorder="1" applyAlignment="1">
      <alignment horizontal="center"/>
    </xf>
    <xf numFmtId="0" fontId="6" fillId="15" borderId="119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/>
    </xf>
    <xf numFmtId="10" fontId="6" fillId="15" borderId="21" xfId="1" applyNumberFormat="1" applyFont="1" applyFill="1" applyBorder="1" applyAlignment="1">
      <alignment horizontal="center" vertical="center" wrapText="1"/>
    </xf>
    <xf numFmtId="10" fontId="6" fillId="15" borderId="21" xfId="1" applyNumberFormat="1" applyFont="1" applyFill="1" applyBorder="1" applyAlignment="1">
      <alignment horizontal="center" vertical="center"/>
    </xf>
    <xf numFmtId="10" fontId="6" fillId="15" borderId="23" xfId="1" applyNumberFormat="1" applyFont="1" applyFill="1" applyBorder="1" applyAlignment="1">
      <alignment horizontal="center" vertical="center" wrapText="1"/>
    </xf>
    <xf numFmtId="10" fontId="6" fillId="15" borderId="160" xfId="1" applyNumberFormat="1" applyFont="1" applyFill="1" applyBorder="1" applyAlignment="1">
      <alignment horizontal="center" vertical="center" wrapText="1"/>
    </xf>
    <xf numFmtId="10" fontId="6" fillId="15" borderId="158" xfId="1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9" fontId="0" fillId="0" borderId="25" xfId="0" applyNumberFormat="1" applyFont="1" applyBorder="1" applyAlignment="1">
      <alignment horizontal="center" vertical="center"/>
    </xf>
    <xf numFmtId="10" fontId="2" fillId="0" borderId="114" xfId="1" applyNumberFormat="1" applyFont="1" applyBorder="1" applyAlignment="1">
      <alignment horizontal="center" vertical="center"/>
    </xf>
    <xf numFmtId="10" fontId="2" fillId="0" borderId="102" xfId="1" applyNumberFormat="1" applyFont="1" applyBorder="1" applyAlignment="1">
      <alignment horizontal="center" vertical="center"/>
    </xf>
    <xf numFmtId="10" fontId="2" fillId="0" borderId="29" xfId="1" applyNumberFormat="1" applyFont="1" applyBorder="1" applyAlignment="1">
      <alignment horizontal="center" vertical="center"/>
    </xf>
    <xf numFmtId="10" fontId="2" fillId="0" borderId="45" xfId="1" applyNumberFormat="1" applyFont="1" applyBorder="1" applyAlignment="1">
      <alignment horizontal="center" vertical="center"/>
    </xf>
    <xf numFmtId="10" fontId="2" fillId="0" borderId="38" xfId="1" applyNumberFormat="1" applyFont="1" applyBorder="1" applyAlignment="1">
      <alignment horizontal="center" vertical="center"/>
    </xf>
    <xf numFmtId="10" fontId="0" fillId="0" borderId="72" xfId="1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9" fontId="4" fillId="0" borderId="55" xfId="0" applyNumberFormat="1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12" borderId="187" xfId="0" applyFont="1" applyFill="1" applyBorder="1" applyAlignment="1">
      <alignment horizontal="center" vertical="center"/>
    </xf>
    <xf numFmtId="0" fontId="12" fillId="12" borderId="188" xfId="0" applyFont="1" applyFill="1" applyBorder="1" applyAlignment="1">
      <alignment horizontal="center" vertical="center"/>
    </xf>
    <xf numFmtId="10" fontId="39" fillId="8" borderId="33" xfId="1" applyNumberFormat="1" applyFont="1" applyFill="1" applyBorder="1" applyAlignment="1">
      <alignment horizontal="center" vertical="center" wrapText="1"/>
    </xf>
    <xf numFmtId="10" fontId="2" fillId="6" borderId="0" xfId="1" applyNumberFormat="1" applyFont="1" applyFill="1"/>
    <xf numFmtId="10" fontId="2" fillId="9" borderId="0" xfId="1" applyNumberFormat="1" applyFont="1" applyFill="1"/>
    <xf numFmtId="10" fontId="2" fillId="13" borderId="0" xfId="1" applyNumberFormat="1" applyFont="1" applyFill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CONSOLIDADO % CUMPLIMIENTO FRENTE A LO PLANEADO</a:t>
            </a:r>
          </a:p>
          <a:p>
            <a:pPr>
              <a:defRPr sz="1200"/>
            </a:pPr>
            <a:r>
              <a:rPr lang="en-US" sz="1200"/>
              <a:t>I SEMESTRE 2015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1978952858571567"/>
          <c:y val="7.8429911237795122E-2"/>
          <c:w val="0.51575769836764185"/>
          <c:h val="0.76130074934495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CONSOLIDADO_1ER_TRIMESTRE!$C$3:$C$4</c:f>
              <c:strCache>
                <c:ptCount val="2"/>
                <c:pt idx="0">
                  <c:v>CONSOLIDADO % CUMPLIMIENTO FRENTE A LO PLANEADO I SEMESTRE</c:v>
                </c:pt>
                <c:pt idx="1">
                  <c:v>% DE CUMPLIMIENTO FRENTE A LO PLANEADO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CONSOLIDADO_1ER_TRIMESTRE!$B$5:$B$17</c:f>
              <c:strCache>
                <c:ptCount val="13"/>
                <c:pt idx="0">
                  <c:v>Oficina Asesora Jurídica</c:v>
                </c:pt>
                <c:pt idx="1">
                  <c:v>Oficina Asesora de Comunicaciones</c:v>
                </c:pt>
                <c:pt idx="2">
                  <c:v>Oficina Asesora de Planeación y Finanzas</c:v>
                </c:pt>
                <c:pt idx="3">
                  <c:v>Oficina de Tecnología y Sistemas de Información</c:v>
                </c:pt>
                <c:pt idx="4">
                  <c:v>Oficina de Innovación Educativa con Uso de Nuevas Tecnologías</c:v>
                </c:pt>
                <c:pt idx="5">
                  <c:v>Oficina de Cooperación y Asuntos Internacionales</c:v>
                </c:pt>
                <c:pt idx="6">
                  <c:v>Oficina de Control Interno</c:v>
                </c:pt>
                <c:pt idx="7">
                  <c:v>Subdirección de Gestión Financiera</c:v>
                </c:pt>
                <c:pt idx="8">
                  <c:v>Subdirección de Contratación</c:v>
                </c:pt>
                <c:pt idx="9">
                  <c:v>Subdirección de Gestión Administrativa y Operaciones </c:v>
                </c:pt>
                <c:pt idx="10">
                  <c:v>Subdirección de Talento Humano</c:v>
                </c:pt>
                <c:pt idx="11">
                  <c:v>Subdirección de Desarrollo Organizacional</c:v>
                </c:pt>
                <c:pt idx="12">
                  <c:v>Unidad de Atención al Ciudadano</c:v>
                </c:pt>
              </c:strCache>
            </c:strRef>
          </c:cat>
          <c:val>
            <c:numRef>
              <c:f>CONSOLIDADO_1ER_TRIMESTRE!$C$5:$C$17</c:f>
              <c:numCache>
                <c:formatCode>0.00%</c:formatCode>
                <c:ptCount val="13"/>
                <c:pt idx="0">
                  <c:v>0.95238095238095233</c:v>
                </c:pt>
                <c:pt idx="1">
                  <c:v>2.7088674698795181</c:v>
                </c:pt>
                <c:pt idx="2">
                  <c:v>1.0881792881206973</c:v>
                </c:pt>
                <c:pt idx="3">
                  <c:v>1.3692307692307693</c:v>
                </c:pt>
                <c:pt idx="4">
                  <c:v>1</c:v>
                </c:pt>
                <c:pt idx="5">
                  <c:v>1.170867052023121</c:v>
                </c:pt>
                <c:pt idx="6">
                  <c:v>1</c:v>
                </c:pt>
                <c:pt idx="7">
                  <c:v>0.9734858681022881</c:v>
                </c:pt>
                <c:pt idx="8">
                  <c:v>4.0313333333333334</c:v>
                </c:pt>
                <c:pt idx="9">
                  <c:v>1</c:v>
                </c:pt>
                <c:pt idx="10">
                  <c:v>0.99449887640449441</c:v>
                </c:pt>
                <c:pt idx="11">
                  <c:v>0</c:v>
                </c:pt>
                <c:pt idx="12">
                  <c:v>0.85613636363636358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gapDepth val="56"/>
        <c:shape val="cylinder"/>
        <c:axId val="295864896"/>
        <c:axId val="295881304"/>
        <c:axId val="0"/>
      </c:bar3DChart>
      <c:catAx>
        <c:axId val="2958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95881304"/>
        <c:crosses val="autoZero"/>
        <c:auto val="1"/>
        <c:lblAlgn val="ctr"/>
        <c:lblOffset val="100"/>
        <c:noMultiLvlLbl val="0"/>
      </c:catAx>
      <c:valAx>
        <c:axId val="29588130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29586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07884672231115"/>
          <c:y val="0.92741939857513722"/>
          <c:w val="0.78647200885891833"/>
          <c:h val="3.4809822641788689E-2"/>
        </c:manualLayout>
      </c:layout>
      <c:overlay val="0"/>
      <c:txPr>
        <a:bodyPr/>
        <a:lstStyle/>
        <a:p>
          <a:pPr>
            <a:defRPr sz="800" b="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CONSOLIDADO % CUMPLIMIENTO FRENTE A LA VIGENCIA</a:t>
            </a:r>
          </a:p>
          <a:p>
            <a:pPr>
              <a:defRPr sz="1200"/>
            </a:pPr>
            <a:r>
              <a:rPr lang="en-US" sz="1200"/>
              <a:t>I SEMESTRE  DE 2015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0787568696770055"/>
          <c:y val="7.9015095194938906E-2"/>
          <c:w val="0.55058434838502335"/>
          <c:h val="0.7603953733402000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CONSOLIDADO_1ER_TRIMESTRE!$F$3:$F$4</c:f>
              <c:strCache>
                <c:ptCount val="2"/>
                <c:pt idx="0">
                  <c:v>CONSOLIDADO % CUMPLIMIENTO FRENTE A LA VIGENCIA I SEMESTRE</c:v>
                </c:pt>
                <c:pt idx="1">
                  <c:v>% DE CUMPLIMIENTO FRENTE A LA VIGENCIA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CONSOLIDADO_1ER_TRIMESTRE!$E$5:$E$17</c:f>
              <c:strCache>
                <c:ptCount val="13"/>
                <c:pt idx="0">
                  <c:v>Oficina Asesora Jurídica</c:v>
                </c:pt>
                <c:pt idx="1">
                  <c:v>Oficina Asesora de Comunicaciones</c:v>
                </c:pt>
                <c:pt idx="2">
                  <c:v>Oficina Asesora de Planeación y Finanzas</c:v>
                </c:pt>
                <c:pt idx="3">
                  <c:v>Oficina de Tecnología y Sistemas de Información</c:v>
                </c:pt>
                <c:pt idx="4">
                  <c:v>Oficina de Innovación Educativa con Uso de Nuevas Tecnologías</c:v>
                </c:pt>
                <c:pt idx="5">
                  <c:v>Oficina de Cooperación y Asuntos Internacionales</c:v>
                </c:pt>
                <c:pt idx="6">
                  <c:v>Oficina de Control Interno</c:v>
                </c:pt>
                <c:pt idx="7">
                  <c:v>Subdirección de Gestión Financiera</c:v>
                </c:pt>
                <c:pt idx="8">
                  <c:v>Subdirección de Contratación</c:v>
                </c:pt>
                <c:pt idx="9">
                  <c:v>Subdirección de Gestión Administrativa y Operaciones </c:v>
                </c:pt>
                <c:pt idx="10">
                  <c:v>Subdirección de Talento Humano</c:v>
                </c:pt>
                <c:pt idx="11">
                  <c:v>Subdirección de Desarrollo Organizacional</c:v>
                </c:pt>
                <c:pt idx="12">
                  <c:v>Unidad de Atención al Ciudadano</c:v>
                </c:pt>
              </c:strCache>
            </c:strRef>
          </c:cat>
          <c:val>
            <c:numRef>
              <c:f>CONSOLIDADO_1ER_TRIMESTRE!$F$5:$F$17</c:f>
              <c:numCache>
                <c:formatCode>0.00%</c:formatCode>
                <c:ptCount val="13"/>
                <c:pt idx="0">
                  <c:v>0.2</c:v>
                </c:pt>
                <c:pt idx="1">
                  <c:v>0.70261250000000008</c:v>
                </c:pt>
                <c:pt idx="2">
                  <c:v>0.44220238095238096</c:v>
                </c:pt>
                <c:pt idx="3">
                  <c:v>0.3115</c:v>
                </c:pt>
                <c:pt idx="4">
                  <c:v>0.16666666666666666</c:v>
                </c:pt>
                <c:pt idx="5">
                  <c:v>0.25319999999999993</c:v>
                </c:pt>
                <c:pt idx="6">
                  <c:v>0.2</c:v>
                </c:pt>
                <c:pt idx="7">
                  <c:v>0.21526785714285715</c:v>
                </c:pt>
                <c:pt idx="8">
                  <c:v>0.60470000000000002</c:v>
                </c:pt>
                <c:pt idx="9">
                  <c:v>0.26051500000000005</c:v>
                </c:pt>
                <c:pt idx="10">
                  <c:v>0.27659499999999998</c:v>
                </c:pt>
                <c:pt idx="11">
                  <c:v>0</c:v>
                </c:pt>
                <c:pt idx="12">
                  <c:v>0.18834999999999999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7238288"/>
        <c:axId val="337238672"/>
        <c:axId val="0"/>
      </c:bar3DChart>
      <c:catAx>
        <c:axId val="3372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337238672"/>
        <c:crosses val="autoZero"/>
        <c:auto val="1"/>
        <c:lblAlgn val="ctr"/>
        <c:lblOffset val="100"/>
        <c:noMultiLvlLbl val="0"/>
      </c:catAx>
      <c:valAx>
        <c:axId val="33723867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33723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749547140937404"/>
          <c:y val="0.9358314095534398"/>
          <c:w val="0.76500892685272104"/>
          <c:h val="3.5069546890350363E-2"/>
        </c:manualLayout>
      </c:layout>
      <c:overlay val="0"/>
      <c:txPr>
        <a:bodyPr/>
        <a:lstStyle/>
        <a:p>
          <a:pPr>
            <a:defRPr sz="800" b="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CONSOLIDADO CUMPLIMIENTO FRENTE A LO PLANEADO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III SEMESTRE 2016 </a:t>
            </a:r>
          </a:p>
        </c:rich>
      </c:tx>
      <c:layout>
        <c:manualLayout>
          <c:xMode val="edge"/>
          <c:yMode val="edge"/>
          <c:x val="0.15894496144673659"/>
          <c:y val="2.26180358711363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925296102693044"/>
          <c:y val="0.15824751739987669"/>
          <c:w val="0.43218383416358669"/>
          <c:h val="0.6674503756147243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'CONSOLIDADO III TRIMESTRE 2016'!$B$2:$C$2</c:f>
              <c:strCache>
                <c:ptCount val="1"/>
                <c:pt idx="0">
                  <c:v>CONSOLIDADO CUMPLIMIENTO FRENTE A LO PLANEADO III SEMESTRE 2016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 III TRIMESTRE 2016'!$B$4:$B$16</c:f>
              <c:strCache>
                <c:ptCount val="13"/>
                <c:pt idx="0">
                  <c:v>Oficina Asesora Jurídica</c:v>
                </c:pt>
                <c:pt idx="1">
                  <c:v>Oficina Asesora de Comunicaciones</c:v>
                </c:pt>
                <c:pt idx="2">
                  <c:v>Oficina Asesora de Planeación y Finanzas</c:v>
                </c:pt>
                <c:pt idx="3">
                  <c:v>Oficina de Tecnología y Sistemas de Información</c:v>
                </c:pt>
                <c:pt idx="4">
                  <c:v>Oficina de Innovación Educativa con Uso de Nuevas Tecnologías</c:v>
                </c:pt>
                <c:pt idx="5">
                  <c:v>Oficina de Cooperación y Asuntos Internacionales</c:v>
                </c:pt>
                <c:pt idx="6">
                  <c:v>Oficina de Control Interno</c:v>
                </c:pt>
                <c:pt idx="7">
                  <c:v>Subdirección de Gestión Financiera</c:v>
                </c:pt>
                <c:pt idx="8">
                  <c:v>Subdirección de Contratación</c:v>
                </c:pt>
                <c:pt idx="9">
                  <c:v>Subdirección de Gestión Administrativa y Operaciones </c:v>
                </c:pt>
                <c:pt idx="10">
                  <c:v>Subdirección de Talento Humano</c:v>
                </c:pt>
                <c:pt idx="11">
                  <c:v>Subdirección de Desarrollo Organizacional</c:v>
                </c:pt>
                <c:pt idx="12">
                  <c:v>Unidad de Atención al Ciudadano</c:v>
                </c:pt>
              </c:strCache>
            </c:strRef>
          </c:cat>
          <c:val>
            <c:numRef>
              <c:f>'CONSOLIDADO III TRIMESTRE 2016'!$C$4:$C$16</c:f>
              <c:numCache>
                <c:formatCode>0%</c:formatCode>
                <c:ptCount val="13"/>
                <c:pt idx="0">
                  <c:v>0.96029411764705874</c:v>
                </c:pt>
                <c:pt idx="1">
                  <c:v>1.2049780701754387</c:v>
                </c:pt>
                <c:pt idx="2">
                  <c:v>1.0484715582147663</c:v>
                </c:pt>
                <c:pt idx="3">
                  <c:v>0.86081002331002332</c:v>
                </c:pt>
                <c:pt idx="4">
                  <c:v>1.0530909090909091</c:v>
                </c:pt>
                <c:pt idx="5">
                  <c:v>1.3355555555555556</c:v>
                </c:pt>
                <c:pt idx="6">
                  <c:v>0.88461538461538469</c:v>
                </c:pt>
                <c:pt idx="7">
                  <c:v>1.0393910614525139</c:v>
                </c:pt>
                <c:pt idx="8">
                  <c:v>3.3820000000000001</c:v>
                </c:pt>
                <c:pt idx="9">
                  <c:v>0.99991140363604603</c:v>
                </c:pt>
                <c:pt idx="10">
                  <c:v>0.97219171917191727</c:v>
                </c:pt>
                <c:pt idx="11">
                  <c:v>0.61298333333333344</c:v>
                </c:pt>
                <c:pt idx="12">
                  <c:v>0.97219171917191727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4825800"/>
        <c:axId val="294826192"/>
        <c:axId val="0"/>
      </c:bar3DChart>
      <c:catAx>
        <c:axId val="294825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s-CO"/>
          </a:p>
        </c:txPr>
        <c:crossAx val="294826192"/>
        <c:crosses val="autoZero"/>
        <c:auto val="1"/>
        <c:lblAlgn val="ctr"/>
        <c:lblOffset val="100"/>
        <c:noMultiLvlLbl val="0"/>
      </c:catAx>
      <c:valAx>
        <c:axId val="2948261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94825800"/>
        <c:crosses val="autoZero"/>
        <c:crossBetween val="between"/>
        <c:majorUnit val="1"/>
        <c:minorUnit val="1"/>
      </c:valAx>
    </c:plotArea>
    <c:legend>
      <c:legendPos val="b"/>
      <c:legendEntry>
        <c:idx val="0"/>
        <c:txPr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4.9622149504039266E-2"/>
          <c:y val="0.9093207405504028"/>
          <c:w val="0.89622691281236899"/>
          <c:h val="7.4834147473256743E-2"/>
        </c:manualLayout>
      </c:layout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 b="1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CONSOLIDADO CUMPLIMIENTO FRENTE A LA VIGENCIA</a:t>
            </a:r>
          </a:p>
          <a:p>
            <a:pPr>
              <a:defRPr sz="1400"/>
            </a:pPr>
            <a:r>
              <a:rPr lang="en-US" sz="1400"/>
              <a:t>III SEMESTRE 2016</a:t>
            </a:r>
          </a:p>
        </c:rich>
      </c:tx>
      <c:layout>
        <c:manualLayout>
          <c:xMode val="edge"/>
          <c:yMode val="edge"/>
          <c:x val="0.13284305148130993"/>
          <c:y val="1.752464201549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51475649754307029"/>
          <c:y val="0.11927885729783241"/>
          <c:w val="0.36966463402600991"/>
          <c:h val="0.702773456209131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'CONSOLIDADO III TRIMESTRE 2016'!$F$2:$F$3</c:f>
              <c:strCache>
                <c:ptCount val="2"/>
                <c:pt idx="0">
                  <c:v>CONSOLIDADO CUMPLIMIENTO FRENTE A LA VIGENCIA III SEMESTRE 2016</c:v>
                </c:pt>
                <c:pt idx="1">
                  <c:v>FRENTE A LA VIGENCIA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'CONSOLIDADO III TRIMESTRE 2016'!$E$4:$E$16</c:f>
              <c:strCache>
                <c:ptCount val="13"/>
                <c:pt idx="0">
                  <c:v>Oficina Asesora Jurídica</c:v>
                </c:pt>
                <c:pt idx="1">
                  <c:v>Oficina Asesora de Comunicaciones</c:v>
                </c:pt>
                <c:pt idx="2">
                  <c:v>Oficina Asesora de Planeación y Finanzas</c:v>
                </c:pt>
                <c:pt idx="3">
                  <c:v>Oficina de Tecnología y Sistemas de Información</c:v>
                </c:pt>
                <c:pt idx="4">
                  <c:v>Oficina de Innovación Educativa con Uso de Nuevas Tecnologías</c:v>
                </c:pt>
                <c:pt idx="5">
                  <c:v>Oficina de Cooperación y Asuntos Internacionales</c:v>
                </c:pt>
                <c:pt idx="6">
                  <c:v>Oficina de Control Interno</c:v>
                </c:pt>
                <c:pt idx="7">
                  <c:v>Subdirección de Gestión Financiera</c:v>
                </c:pt>
                <c:pt idx="8">
                  <c:v>Subdirección de Contratación</c:v>
                </c:pt>
                <c:pt idx="9">
                  <c:v>Subdirección de Gestión Administrativa y Operaciones </c:v>
                </c:pt>
                <c:pt idx="10">
                  <c:v>Subdirección de Talento Humano</c:v>
                </c:pt>
                <c:pt idx="11">
                  <c:v>Subdirección de Desarrollo Organizacional</c:v>
                </c:pt>
                <c:pt idx="12">
                  <c:v>Unidad de Atención al Ciudadano</c:v>
                </c:pt>
              </c:strCache>
            </c:strRef>
          </c:cat>
          <c:val>
            <c:numRef>
              <c:f>'CONSOLIDADO III TRIMESTRE 2016'!$F$4:$F$16</c:f>
              <c:numCache>
                <c:formatCode>0%</c:formatCode>
                <c:ptCount val="13"/>
                <c:pt idx="0">
                  <c:v>0.72555555555555551</c:v>
                </c:pt>
                <c:pt idx="1">
                  <c:v>0.91578333333333339</c:v>
                </c:pt>
                <c:pt idx="2">
                  <c:v>0.83846520146520154</c:v>
                </c:pt>
                <c:pt idx="3">
                  <c:v>0.67143181818181819</c:v>
                </c:pt>
                <c:pt idx="4">
                  <c:v>0.72400000000000009</c:v>
                </c:pt>
                <c:pt idx="5">
                  <c:v>1.0016666666666667</c:v>
                </c:pt>
                <c:pt idx="6">
                  <c:v>0.69000000000000006</c:v>
                </c:pt>
                <c:pt idx="7">
                  <c:v>0.77521249999999997</c:v>
                </c:pt>
                <c:pt idx="8">
                  <c:v>0.84550000000000003</c:v>
                </c:pt>
                <c:pt idx="9">
                  <c:v>0.77874399999999988</c:v>
                </c:pt>
                <c:pt idx="10">
                  <c:v>0.7200700000000001</c:v>
                </c:pt>
                <c:pt idx="11">
                  <c:v>0.97725521456091402</c:v>
                </c:pt>
                <c:pt idx="12">
                  <c:v>0.7200700000000001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4826976"/>
        <c:axId val="294827368"/>
        <c:axId val="0"/>
      </c:bar3DChart>
      <c:catAx>
        <c:axId val="294826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827368"/>
        <c:crosses val="autoZero"/>
        <c:auto val="1"/>
        <c:lblAlgn val="ctr"/>
        <c:lblOffset val="100"/>
        <c:noMultiLvlLbl val="0"/>
      </c:catAx>
      <c:valAx>
        <c:axId val="294827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8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772226721522873E-2"/>
          <c:y val="0.9140918170605955"/>
          <c:w val="0.85310757207980581"/>
          <c:h val="6.5555654270648731E-2"/>
        </c:manualLayout>
      </c:layout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18</xdr:row>
      <xdr:rowOff>41274</xdr:rowOff>
    </xdr:from>
    <xdr:to>
      <xdr:col>4</xdr:col>
      <xdr:colOff>1788584</xdr:colOff>
      <xdr:row>48</xdr:row>
      <xdr:rowOff>42333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2063751</xdr:colOff>
      <xdr:row>18</xdr:row>
      <xdr:rowOff>9524</xdr:rowOff>
    </xdr:from>
    <xdr:to>
      <xdr:col>12</xdr:col>
      <xdr:colOff>116418</xdr:colOff>
      <xdr:row>47</xdr:row>
      <xdr:rowOff>158750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17</xdr:row>
      <xdr:rowOff>42862</xdr:rowOff>
    </xdr:from>
    <xdr:to>
      <xdr:col>4</xdr:col>
      <xdr:colOff>38100</xdr:colOff>
      <xdr:row>40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133349</xdr:colOff>
      <xdr:row>17</xdr:row>
      <xdr:rowOff>23811</xdr:rowOff>
    </xdr:from>
    <xdr:to>
      <xdr:col>6</xdr:col>
      <xdr:colOff>628650</xdr:colOff>
      <xdr:row>40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"/>
  <sheetViews>
    <sheetView workbookViewId="0">
      <selection activeCell="A6" sqref="A6:A8"/>
    </sheetView>
  </sheetViews>
  <sheetFormatPr baseColWidth="10" defaultRowHeight="15" x14ac:dyDescent="0.25"/>
  <cols>
    <col min="1" max="1" width="19.5703125" customWidth="1"/>
    <col min="3" max="3" width="26.5703125" customWidth="1"/>
    <col min="4" max="6" width="7.7109375" style="3" customWidth="1"/>
    <col min="7" max="7" width="8.7109375" style="3" customWidth="1"/>
    <col min="8" max="10" width="7.7109375" style="3" customWidth="1"/>
    <col min="11" max="11" width="9" style="3" customWidth="1"/>
    <col min="12" max="14" width="7.7109375" style="3" customWidth="1"/>
    <col min="15" max="15" width="9.140625" style="3" customWidth="1"/>
    <col min="16" max="18" width="7.7109375" style="3" customWidth="1"/>
    <col min="19" max="19" width="8.85546875" style="3" customWidth="1"/>
    <col min="20" max="23" width="7.7109375" style="3" customWidth="1"/>
    <col min="24" max="24" width="8.42578125" customWidth="1"/>
    <col min="25" max="26" width="8.7109375" customWidth="1"/>
    <col min="27" max="27" width="9.140625" customWidth="1"/>
  </cols>
  <sheetData>
    <row r="2" spans="1:27" ht="28.5" x14ac:dyDescent="0.4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7" ht="15.75" thickBot="1" x14ac:dyDescent="0.3"/>
    <row r="4" spans="1:27" ht="58.5" customHeight="1" thickBot="1" x14ac:dyDescent="0.3">
      <c r="A4" s="1024" t="s">
        <v>0</v>
      </c>
      <c r="B4" s="1026" t="s">
        <v>1</v>
      </c>
      <c r="C4" s="1028" t="s">
        <v>2</v>
      </c>
      <c r="D4" s="1030" t="s">
        <v>3</v>
      </c>
      <c r="E4" s="1031"/>
      <c r="F4" s="1031"/>
      <c r="G4" s="1032"/>
      <c r="H4" s="1000" t="s">
        <v>4</v>
      </c>
      <c r="I4" s="1033"/>
      <c r="J4" s="1033"/>
      <c r="K4" s="1033"/>
      <c r="L4" s="1030" t="s">
        <v>16</v>
      </c>
      <c r="M4" s="998"/>
      <c r="N4" s="998"/>
      <c r="O4" s="1034"/>
      <c r="P4" s="997" t="s">
        <v>5</v>
      </c>
      <c r="Q4" s="998"/>
      <c r="R4" s="998"/>
      <c r="S4" s="999"/>
      <c r="T4" s="1000" t="s">
        <v>6</v>
      </c>
      <c r="U4" s="1001"/>
      <c r="V4" s="1001"/>
      <c r="W4" s="1002"/>
      <c r="X4" s="1003" t="s">
        <v>7</v>
      </c>
      <c r="Y4" s="1004"/>
      <c r="Z4" s="1004"/>
      <c r="AA4" s="1005"/>
    </row>
    <row r="5" spans="1:27" ht="15.75" thickBot="1" x14ac:dyDescent="0.3">
      <c r="A5" s="1025"/>
      <c r="B5" s="1027"/>
      <c r="C5" s="1029"/>
      <c r="D5" s="49" t="s">
        <v>8</v>
      </c>
      <c r="E5" s="50" t="s">
        <v>9</v>
      </c>
      <c r="F5" s="50" t="s">
        <v>10</v>
      </c>
      <c r="G5" s="51" t="s">
        <v>11</v>
      </c>
      <c r="H5" s="49" t="s">
        <v>8</v>
      </c>
      <c r="I5" s="50" t="s">
        <v>9</v>
      </c>
      <c r="J5" s="50" t="s">
        <v>10</v>
      </c>
      <c r="K5" s="52" t="s">
        <v>11</v>
      </c>
      <c r="L5" s="49" t="s">
        <v>8</v>
      </c>
      <c r="M5" s="50" t="s">
        <v>9</v>
      </c>
      <c r="N5" s="50" t="s">
        <v>10</v>
      </c>
      <c r="O5" s="51" t="s">
        <v>11</v>
      </c>
      <c r="P5" s="53" t="s">
        <v>8</v>
      </c>
      <c r="Q5" s="54" t="s">
        <v>9</v>
      </c>
      <c r="R5" s="54" t="s">
        <v>10</v>
      </c>
      <c r="S5" s="55" t="s">
        <v>11</v>
      </c>
      <c r="T5" s="56" t="s">
        <v>8</v>
      </c>
      <c r="U5" s="54" t="s">
        <v>9</v>
      </c>
      <c r="V5" s="54" t="s">
        <v>10</v>
      </c>
      <c r="W5" s="57" t="s">
        <v>11</v>
      </c>
      <c r="X5" s="49" t="s">
        <v>8</v>
      </c>
      <c r="Y5" s="50" t="s">
        <v>9</v>
      </c>
      <c r="Z5" s="50" t="s">
        <v>10</v>
      </c>
      <c r="AA5" s="51" t="s">
        <v>11</v>
      </c>
    </row>
    <row r="6" spans="1:27" x14ac:dyDescent="0.25">
      <c r="A6" s="1006" t="s">
        <v>13</v>
      </c>
      <c r="B6" s="1009">
        <v>0.2</v>
      </c>
      <c r="C6" s="4"/>
      <c r="D6" s="5"/>
      <c r="E6" s="6"/>
      <c r="F6" s="6"/>
      <c r="G6" s="7"/>
      <c r="H6" s="5"/>
      <c r="I6" s="6"/>
      <c r="J6" s="6"/>
      <c r="K6" s="8"/>
      <c r="L6" s="1012" t="e">
        <f>+AVERAGE(D6:D8)*$B$6</f>
        <v>#DIV/0!</v>
      </c>
      <c r="M6" s="1015" t="e">
        <f>+AVERAGE(E6:E8)*$B$6</f>
        <v>#DIV/0!</v>
      </c>
      <c r="N6" s="1015" t="e">
        <f>+AVERAGE(F6:F8)*$B$6</f>
        <v>#DIV/0!</v>
      </c>
      <c r="O6" s="1018" t="e">
        <f>+AVERAGE(G6:G8)*$B$6</f>
        <v>#DIV/0!</v>
      </c>
      <c r="P6" s="1021" t="e">
        <f>+AVERAGE(H6:H8)</f>
        <v>#DIV/0!</v>
      </c>
      <c r="Q6" s="1021" t="e">
        <f>+AVERAGE(I6:I8)</f>
        <v>#DIV/0!</v>
      </c>
      <c r="R6" s="1021" t="e">
        <f>+AVERAGE(J6:J8)</f>
        <v>#DIV/0!</v>
      </c>
      <c r="S6" s="1046" t="e">
        <f>+AVERAGE(K6:K8)</f>
        <v>#DIV/0!</v>
      </c>
      <c r="T6" s="1012" t="e">
        <f>+P6*$B$6</f>
        <v>#DIV/0!</v>
      </c>
      <c r="U6" s="1015" t="e">
        <f>+Q6*$B$6</f>
        <v>#DIV/0!</v>
      </c>
      <c r="V6" s="1015" t="e">
        <f>+R6*$B$6</f>
        <v>#DIV/0!</v>
      </c>
      <c r="W6" s="1018" t="e">
        <f>+S6*$B$6</f>
        <v>#DIV/0!</v>
      </c>
      <c r="X6" s="1012" t="e">
        <f>+T6/L6</f>
        <v>#DIV/0!</v>
      </c>
      <c r="Y6" s="1021" t="e">
        <f>+U6/M6</f>
        <v>#DIV/0!</v>
      </c>
      <c r="Z6" s="1021" t="e">
        <f>+V6/N6</f>
        <v>#DIV/0!</v>
      </c>
      <c r="AA6" s="1035" t="e">
        <f>+W6/O6</f>
        <v>#DIV/0!</v>
      </c>
    </row>
    <row r="7" spans="1:27" x14ac:dyDescent="0.25">
      <c r="A7" s="1007"/>
      <c r="B7" s="1010"/>
      <c r="C7" s="9"/>
      <c r="D7" s="10"/>
      <c r="E7" s="11"/>
      <c r="F7" s="11"/>
      <c r="G7" s="12"/>
      <c r="H7" s="10"/>
      <c r="I7" s="11"/>
      <c r="J7" s="11"/>
      <c r="K7" s="13"/>
      <c r="L7" s="1013"/>
      <c r="M7" s="1016"/>
      <c r="N7" s="1016"/>
      <c r="O7" s="1019"/>
      <c r="P7" s="1022"/>
      <c r="Q7" s="1022"/>
      <c r="R7" s="1022"/>
      <c r="S7" s="1047"/>
      <c r="T7" s="1013"/>
      <c r="U7" s="1016"/>
      <c r="V7" s="1016"/>
      <c r="W7" s="1019"/>
      <c r="X7" s="1013"/>
      <c r="Y7" s="1022"/>
      <c r="Z7" s="1022"/>
      <c r="AA7" s="1036"/>
    </row>
    <row r="8" spans="1:27" ht="15.75" thickBot="1" x14ac:dyDescent="0.3">
      <c r="A8" s="1008"/>
      <c r="B8" s="1011"/>
      <c r="C8" s="14"/>
      <c r="D8" s="15"/>
      <c r="E8" s="16"/>
      <c r="F8" s="16"/>
      <c r="G8" s="17"/>
      <c r="H8" s="15"/>
      <c r="I8" s="16"/>
      <c r="J8" s="16"/>
      <c r="K8" s="18"/>
      <c r="L8" s="1014"/>
      <c r="M8" s="1017"/>
      <c r="N8" s="1017"/>
      <c r="O8" s="1020"/>
      <c r="P8" s="1023"/>
      <c r="Q8" s="1023"/>
      <c r="R8" s="1023"/>
      <c r="S8" s="1048"/>
      <c r="T8" s="1014"/>
      <c r="U8" s="1017"/>
      <c r="V8" s="1017"/>
      <c r="W8" s="1020"/>
      <c r="X8" s="1014"/>
      <c r="Y8" s="1023"/>
      <c r="Z8" s="1023"/>
      <c r="AA8" s="1037"/>
    </row>
    <row r="9" spans="1:27" x14ac:dyDescent="0.25">
      <c r="A9" s="1038" t="s">
        <v>14</v>
      </c>
      <c r="B9" s="1041">
        <v>0.3</v>
      </c>
      <c r="C9" s="4"/>
      <c r="D9" s="19"/>
      <c r="E9" s="20"/>
      <c r="F9" s="20"/>
      <c r="G9" s="21"/>
      <c r="H9" s="19"/>
      <c r="I9" s="20"/>
      <c r="J9" s="20"/>
      <c r="K9" s="22"/>
      <c r="L9" s="1044"/>
      <c r="M9" s="1045"/>
      <c r="N9" s="1045"/>
      <c r="O9" s="1049"/>
      <c r="P9" s="1050"/>
      <c r="Q9" s="1045"/>
      <c r="R9" s="1045"/>
      <c r="S9" s="1051"/>
      <c r="T9" s="1044"/>
      <c r="U9" s="1045"/>
      <c r="V9" s="1045"/>
      <c r="W9" s="1049"/>
      <c r="X9" s="1044"/>
      <c r="Y9" s="1045"/>
      <c r="Z9" s="1045"/>
      <c r="AA9" s="1049"/>
    </row>
    <row r="10" spans="1:27" x14ac:dyDescent="0.25">
      <c r="A10" s="1039"/>
      <c r="B10" s="1042"/>
      <c r="C10" s="9"/>
      <c r="D10" s="10"/>
      <c r="E10" s="11"/>
      <c r="F10" s="11"/>
      <c r="G10" s="12"/>
      <c r="H10" s="10"/>
      <c r="I10" s="11"/>
      <c r="J10" s="11"/>
      <c r="K10" s="13"/>
      <c r="L10" s="1013"/>
      <c r="M10" s="1016"/>
      <c r="N10" s="1016"/>
      <c r="O10" s="1019"/>
      <c r="P10" s="1022"/>
      <c r="Q10" s="1016"/>
      <c r="R10" s="1016"/>
      <c r="S10" s="1052"/>
      <c r="T10" s="1013"/>
      <c r="U10" s="1016"/>
      <c r="V10" s="1016"/>
      <c r="W10" s="1019"/>
      <c r="X10" s="1013"/>
      <c r="Y10" s="1016"/>
      <c r="Z10" s="1016"/>
      <c r="AA10" s="1019"/>
    </row>
    <row r="11" spans="1:27" x14ac:dyDescent="0.25">
      <c r="A11" s="1039"/>
      <c r="B11" s="1042"/>
      <c r="C11" s="9"/>
      <c r="D11" s="10"/>
      <c r="E11" s="11"/>
      <c r="F11" s="11"/>
      <c r="G11" s="12"/>
      <c r="H11" s="10"/>
      <c r="I11" s="11"/>
      <c r="J11" s="11"/>
      <c r="K11" s="13"/>
      <c r="L11" s="1013"/>
      <c r="M11" s="1016"/>
      <c r="N11" s="1016"/>
      <c r="O11" s="1019"/>
      <c r="P11" s="1022"/>
      <c r="Q11" s="1016"/>
      <c r="R11" s="1016"/>
      <c r="S11" s="1052"/>
      <c r="T11" s="1013"/>
      <c r="U11" s="1016"/>
      <c r="V11" s="1016"/>
      <c r="W11" s="1019"/>
      <c r="X11" s="1013"/>
      <c r="Y11" s="1016"/>
      <c r="Z11" s="1016"/>
      <c r="AA11" s="1019"/>
    </row>
    <row r="12" spans="1:27" ht="15.75" thickBot="1" x14ac:dyDescent="0.3">
      <c r="A12" s="1040"/>
      <c r="B12" s="1043"/>
      <c r="C12" s="14"/>
      <c r="D12" s="15"/>
      <c r="E12" s="16"/>
      <c r="F12" s="16"/>
      <c r="G12" s="17"/>
      <c r="H12" s="15"/>
      <c r="I12" s="16"/>
      <c r="J12" s="16"/>
      <c r="K12" s="18"/>
      <c r="L12" s="1013"/>
      <c r="M12" s="1016"/>
      <c r="N12" s="1016"/>
      <c r="O12" s="1019"/>
      <c r="P12" s="1022"/>
      <c r="Q12" s="1016"/>
      <c r="R12" s="1016"/>
      <c r="S12" s="1052"/>
      <c r="T12" s="1013"/>
      <c r="U12" s="1016"/>
      <c r="V12" s="1016"/>
      <c r="W12" s="1019"/>
      <c r="X12" s="1013"/>
      <c r="Y12" s="1016"/>
      <c r="Z12" s="1016"/>
      <c r="AA12" s="1019"/>
    </row>
    <row r="13" spans="1:27" ht="67.5" customHeight="1" thickBot="1" x14ac:dyDescent="0.3">
      <c r="A13" s="48" t="s">
        <v>15</v>
      </c>
      <c r="B13" s="23">
        <v>0.5</v>
      </c>
      <c r="C13" s="24"/>
      <c r="D13" s="25"/>
      <c r="E13" s="26"/>
      <c r="F13" s="26"/>
      <c r="G13" s="27"/>
      <c r="H13" s="25"/>
      <c r="I13" s="26"/>
      <c r="J13" s="26"/>
      <c r="K13" s="28"/>
      <c r="L13" s="29"/>
      <c r="M13" s="30"/>
      <c r="N13" s="30"/>
      <c r="O13" s="31"/>
      <c r="P13" s="32"/>
      <c r="Q13" s="30"/>
      <c r="R13" s="30"/>
      <c r="S13" s="33"/>
      <c r="T13" s="29"/>
      <c r="U13" s="30"/>
      <c r="V13" s="30"/>
      <c r="W13" s="31"/>
      <c r="X13" s="29"/>
      <c r="Y13" s="30"/>
      <c r="Z13" s="30"/>
      <c r="AA13" s="31"/>
    </row>
    <row r="14" spans="1:27" ht="15.75" thickBot="1" x14ac:dyDescent="0.3">
      <c r="A14" s="34" t="s">
        <v>12</v>
      </c>
      <c r="B14" s="35">
        <f>SUM(B6:B13)</f>
        <v>1</v>
      </c>
      <c r="C14" s="36"/>
      <c r="D14" s="37"/>
      <c r="E14" s="38"/>
      <c r="F14" s="38"/>
      <c r="G14" s="39"/>
      <c r="H14" s="37"/>
      <c r="I14" s="38"/>
      <c r="J14" s="38"/>
      <c r="K14" s="40"/>
      <c r="L14" s="41"/>
      <c r="M14" s="42"/>
      <c r="N14" s="42"/>
      <c r="O14" s="43"/>
      <c r="P14" s="44"/>
      <c r="Q14" s="42"/>
      <c r="R14" s="42"/>
      <c r="S14" s="45"/>
      <c r="T14" s="41"/>
      <c r="U14" s="42"/>
      <c r="V14" s="46"/>
      <c r="W14" s="47"/>
      <c r="X14" s="41"/>
      <c r="Y14" s="42"/>
      <c r="Z14" s="46"/>
      <c r="AA14" s="47"/>
    </row>
  </sheetData>
  <mergeCells count="45">
    <mergeCell ref="AA9:AA12"/>
    <mergeCell ref="U9:U12"/>
    <mergeCell ref="V9:V12"/>
    <mergeCell ref="W9:W12"/>
    <mergeCell ref="X9:X12"/>
    <mergeCell ref="Y9:Y12"/>
    <mergeCell ref="Z9:Z12"/>
    <mergeCell ref="Z6:Z8"/>
    <mergeCell ref="O9:O12"/>
    <mergeCell ref="P9:P12"/>
    <mergeCell ref="Q9:Q12"/>
    <mergeCell ref="R9:R12"/>
    <mergeCell ref="S9:S12"/>
    <mergeCell ref="AA6:AA8"/>
    <mergeCell ref="A9:A12"/>
    <mergeCell ref="B9:B12"/>
    <mergeCell ref="L9:L12"/>
    <mergeCell ref="M9:M12"/>
    <mergeCell ref="N9:N12"/>
    <mergeCell ref="Q6:Q8"/>
    <mergeCell ref="R6:R8"/>
    <mergeCell ref="S6:S8"/>
    <mergeCell ref="T6:T8"/>
    <mergeCell ref="U6:U8"/>
    <mergeCell ref="V6:V8"/>
    <mergeCell ref="T9:T12"/>
    <mergeCell ref="W6:W8"/>
    <mergeCell ref="X6:X8"/>
    <mergeCell ref="Y6:Y8"/>
    <mergeCell ref="P4:S4"/>
    <mergeCell ref="T4:W4"/>
    <mergeCell ref="X4:AA4"/>
    <mergeCell ref="A6:A8"/>
    <mergeCell ref="B6:B8"/>
    <mergeCell ref="L6:L8"/>
    <mergeCell ref="M6:M8"/>
    <mergeCell ref="N6:N8"/>
    <mergeCell ref="O6:O8"/>
    <mergeCell ref="P6:P8"/>
    <mergeCell ref="A4:A5"/>
    <mergeCell ref="B4:B5"/>
    <mergeCell ref="C4:C5"/>
    <mergeCell ref="D4:G4"/>
    <mergeCell ref="H4:K4"/>
    <mergeCell ref="L4:O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B31"/>
  <sheetViews>
    <sheetView topLeftCell="H16" zoomScale="80" zoomScaleNormal="80" workbookViewId="0">
      <selection activeCell="AF26" sqref="AF26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style="67" customWidth="1"/>
    <col min="4" max="4" width="36" customWidth="1"/>
    <col min="14" max="16" width="0" hidden="1" customWidth="1"/>
    <col min="18" max="20" width="0" hidden="1" customWidth="1"/>
    <col min="22" max="24" width="0" hidden="1" customWidth="1"/>
    <col min="26" max="28" width="0" hidden="1" customWidth="1"/>
  </cols>
  <sheetData>
    <row r="3" spans="2:28" ht="28.5" x14ac:dyDescent="0.45">
      <c r="B3" s="1065" t="s">
        <v>41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</row>
    <row r="4" spans="2:28" ht="5.25" customHeight="1" x14ac:dyDescent="0.25"/>
    <row r="5" spans="2:28" ht="39.75" customHeight="1" x14ac:dyDescent="0.25">
      <c r="B5" s="1066" t="s">
        <v>0</v>
      </c>
      <c r="C5" s="1067" t="s">
        <v>1</v>
      </c>
      <c r="D5" s="1066" t="s">
        <v>2</v>
      </c>
      <c r="E5" s="1068" t="s">
        <v>3</v>
      </c>
      <c r="F5" s="1069"/>
      <c r="G5" s="1069"/>
      <c r="H5" s="1069"/>
      <c r="I5" s="1068" t="s">
        <v>4</v>
      </c>
      <c r="J5" s="1069"/>
      <c r="K5" s="1069"/>
      <c r="L5" s="1069"/>
      <c r="M5" s="1068" t="s">
        <v>16</v>
      </c>
      <c r="N5" s="1068"/>
      <c r="O5" s="1068"/>
      <c r="P5" s="1068"/>
      <c r="Q5" s="1068" t="s">
        <v>5</v>
      </c>
      <c r="R5" s="1068"/>
      <c r="S5" s="1068"/>
      <c r="T5" s="1068"/>
      <c r="U5" s="1068" t="s">
        <v>6</v>
      </c>
      <c r="V5" s="1068"/>
      <c r="W5" s="1068"/>
      <c r="X5" s="1068"/>
      <c r="Y5" s="1068" t="s">
        <v>7</v>
      </c>
      <c r="Z5" s="1068"/>
      <c r="AA5" s="1068"/>
      <c r="AB5" s="1068"/>
    </row>
    <row r="6" spans="2:28" x14ac:dyDescent="0.25">
      <c r="B6" s="1066"/>
      <c r="C6" s="1067"/>
      <c r="D6" s="1066"/>
      <c r="E6" s="266" t="s">
        <v>8</v>
      </c>
      <c r="F6" s="266" t="s">
        <v>9</v>
      </c>
      <c r="G6" s="266" t="s">
        <v>10</v>
      </c>
      <c r="H6" s="266" t="s">
        <v>11</v>
      </c>
      <c r="I6" s="266" t="s">
        <v>8</v>
      </c>
      <c r="J6" s="266" t="s">
        <v>9</v>
      </c>
      <c r="K6" s="266" t="s">
        <v>10</v>
      </c>
      <c r="L6" s="266" t="s">
        <v>11</v>
      </c>
      <c r="M6" s="266" t="s">
        <v>8</v>
      </c>
      <c r="N6" s="266" t="s">
        <v>9</v>
      </c>
      <c r="O6" s="266" t="s">
        <v>10</v>
      </c>
      <c r="P6" s="266" t="s">
        <v>11</v>
      </c>
      <c r="Q6" s="266" t="s">
        <v>8</v>
      </c>
      <c r="R6" s="266" t="s">
        <v>9</v>
      </c>
      <c r="S6" s="266" t="s">
        <v>10</v>
      </c>
      <c r="T6" s="266" t="s">
        <v>11</v>
      </c>
      <c r="U6" s="266" t="s">
        <v>8</v>
      </c>
      <c r="V6" s="266" t="s">
        <v>9</v>
      </c>
      <c r="W6" s="266" t="s">
        <v>10</v>
      </c>
      <c r="X6" s="266" t="s">
        <v>11</v>
      </c>
      <c r="Y6" s="266" t="s">
        <v>8</v>
      </c>
      <c r="Z6" s="266" t="s">
        <v>9</v>
      </c>
      <c r="AA6" s="266" t="s">
        <v>10</v>
      </c>
      <c r="AB6" s="266" t="s">
        <v>11</v>
      </c>
    </row>
    <row r="7" spans="2:28" s="71" customFormat="1" ht="48" customHeight="1" x14ac:dyDescent="0.25">
      <c r="B7" s="1327" t="s">
        <v>42</v>
      </c>
      <c r="C7" s="1042">
        <v>0.25</v>
      </c>
      <c r="D7" s="265" t="s">
        <v>43</v>
      </c>
      <c r="E7" s="199">
        <v>0.15</v>
      </c>
      <c r="F7" s="200">
        <v>0.4</v>
      </c>
      <c r="G7" s="200">
        <v>0.75</v>
      </c>
      <c r="H7" s="201">
        <v>1</v>
      </c>
      <c r="I7" s="247">
        <v>0.219</v>
      </c>
      <c r="J7" s="200"/>
      <c r="K7" s="200"/>
      <c r="L7" s="202"/>
      <c r="M7" s="1044">
        <f>+AVERAGE(E7:E13)*$C$7</f>
        <v>4.8214285714285716E-2</v>
      </c>
      <c r="N7" s="1045">
        <f>+AVERAGE(F7:F13)*$C$7</f>
        <v>0.11549999999999998</v>
      </c>
      <c r="O7" s="1045">
        <f>+AVERAGE(G7:G13)*$C$7</f>
        <v>0.1875</v>
      </c>
      <c r="P7" s="1051">
        <f>+AVERAGE(H7:H13)*$C$7</f>
        <v>0.25</v>
      </c>
      <c r="Q7" s="1340">
        <f>+AVERAGE(I7:I13)</f>
        <v>0.16807142857142857</v>
      </c>
      <c r="R7" s="1336" t="e">
        <f>+AVERAGE(J7:J13)</f>
        <v>#DIV/0!</v>
      </c>
      <c r="S7" s="1336" t="e">
        <f>+AVERAGE(K7:K13)</f>
        <v>#DIV/0!</v>
      </c>
      <c r="T7" s="1338" t="e">
        <f>+AVERAGE(L7:L13)</f>
        <v>#DIV/0!</v>
      </c>
      <c r="U7" s="1340">
        <f>+Q7*$C$7</f>
        <v>4.2017857142857142E-2</v>
      </c>
      <c r="V7" s="1336" t="e">
        <f>+R7*$C$7</f>
        <v>#DIV/0!</v>
      </c>
      <c r="W7" s="1336" t="e">
        <f>+S7*$C$7</f>
        <v>#DIV/0!</v>
      </c>
      <c r="X7" s="1338" t="e">
        <f>+T7*$C$7</f>
        <v>#DIV/0!</v>
      </c>
      <c r="Y7" s="1340">
        <f>+U7/M7</f>
        <v>0.87148148148148141</v>
      </c>
      <c r="Z7" s="1336" t="e">
        <f>+V7/N7</f>
        <v>#DIV/0!</v>
      </c>
      <c r="AA7" s="1336" t="e">
        <f>+W7/O7</f>
        <v>#DIV/0!</v>
      </c>
      <c r="AB7" s="1338" t="e">
        <f>+X7/P7</f>
        <v>#DIV/0!</v>
      </c>
    </row>
    <row r="8" spans="2:28" s="71" customFormat="1" ht="74.25" customHeight="1" x14ac:dyDescent="0.25">
      <c r="B8" s="1327"/>
      <c r="C8" s="1042"/>
      <c r="D8" s="97" t="s">
        <v>44</v>
      </c>
      <c r="E8" s="191">
        <v>0.25</v>
      </c>
      <c r="F8" s="192">
        <v>0.5</v>
      </c>
      <c r="G8" s="192">
        <v>0.75</v>
      </c>
      <c r="H8" s="193">
        <v>1</v>
      </c>
      <c r="I8" s="239">
        <v>0.53400000000000003</v>
      </c>
      <c r="J8" s="192"/>
      <c r="K8" s="192"/>
      <c r="L8" s="194"/>
      <c r="M8" s="1013"/>
      <c r="N8" s="1016"/>
      <c r="O8" s="1016"/>
      <c r="P8" s="1052"/>
      <c r="Q8" s="1324"/>
      <c r="R8" s="1083"/>
      <c r="S8" s="1083"/>
      <c r="T8" s="1084"/>
      <c r="U8" s="1324"/>
      <c r="V8" s="1083"/>
      <c r="W8" s="1083"/>
      <c r="X8" s="1084"/>
      <c r="Y8" s="1324"/>
      <c r="Z8" s="1083"/>
      <c r="AA8" s="1083"/>
      <c r="AB8" s="1084"/>
    </row>
    <row r="9" spans="2:28" s="71" customFormat="1" ht="60.75" customHeight="1" x14ac:dyDescent="0.25">
      <c r="B9" s="1327"/>
      <c r="C9" s="1042"/>
      <c r="D9" s="97" t="s">
        <v>45</v>
      </c>
      <c r="E9" s="191">
        <v>0.25</v>
      </c>
      <c r="F9" s="192">
        <v>0.5</v>
      </c>
      <c r="G9" s="192">
        <v>0.75</v>
      </c>
      <c r="H9" s="193">
        <v>1</v>
      </c>
      <c r="I9" s="240">
        <v>2.1999999999999999E-2</v>
      </c>
      <c r="J9" s="192"/>
      <c r="K9" s="192"/>
      <c r="L9" s="194"/>
      <c r="M9" s="1013"/>
      <c r="N9" s="1016"/>
      <c r="O9" s="1016"/>
      <c r="P9" s="1052"/>
      <c r="Q9" s="1324"/>
      <c r="R9" s="1083"/>
      <c r="S9" s="1083"/>
      <c r="T9" s="1084"/>
      <c r="U9" s="1324"/>
      <c r="V9" s="1083"/>
      <c r="W9" s="1083"/>
      <c r="X9" s="1084"/>
      <c r="Y9" s="1324"/>
      <c r="Z9" s="1083"/>
      <c r="AA9" s="1083"/>
      <c r="AB9" s="1084"/>
    </row>
    <row r="10" spans="2:28" s="71" customFormat="1" ht="48" customHeight="1" x14ac:dyDescent="0.25">
      <c r="B10" s="1327"/>
      <c r="C10" s="1042"/>
      <c r="D10" s="97" t="s">
        <v>46</v>
      </c>
      <c r="E10" s="191">
        <v>0.15</v>
      </c>
      <c r="F10" s="192">
        <v>0.4</v>
      </c>
      <c r="G10" s="192">
        <v>0.75</v>
      </c>
      <c r="H10" s="193">
        <v>1</v>
      </c>
      <c r="I10" s="239">
        <v>0.219</v>
      </c>
      <c r="J10" s="192"/>
      <c r="K10" s="192"/>
      <c r="L10" s="194"/>
      <c r="M10" s="1013"/>
      <c r="N10" s="1016"/>
      <c r="O10" s="1016"/>
      <c r="P10" s="1052"/>
      <c r="Q10" s="1324"/>
      <c r="R10" s="1083"/>
      <c r="S10" s="1083"/>
      <c r="T10" s="1084"/>
      <c r="U10" s="1324"/>
      <c r="V10" s="1083"/>
      <c r="W10" s="1083"/>
      <c r="X10" s="1084"/>
      <c r="Y10" s="1324"/>
      <c r="Z10" s="1083"/>
      <c r="AA10" s="1083"/>
      <c r="AB10" s="1084"/>
    </row>
    <row r="11" spans="2:28" ht="49.5" customHeight="1" x14ac:dyDescent="0.25">
      <c r="B11" s="1327"/>
      <c r="C11" s="1042"/>
      <c r="D11" s="97" t="s">
        <v>47</v>
      </c>
      <c r="E11" s="191">
        <v>0.15</v>
      </c>
      <c r="F11" s="192">
        <v>0.53400000000000003</v>
      </c>
      <c r="G11" s="192">
        <v>0.75</v>
      </c>
      <c r="H11" s="193">
        <v>1</v>
      </c>
      <c r="I11" s="241">
        <v>0.1825</v>
      </c>
      <c r="J11" s="192"/>
      <c r="K11" s="192"/>
      <c r="L11" s="194"/>
      <c r="M11" s="1013"/>
      <c r="N11" s="1016"/>
      <c r="O11" s="1016"/>
      <c r="P11" s="1052"/>
      <c r="Q11" s="1324"/>
      <c r="R11" s="1083"/>
      <c r="S11" s="1083"/>
      <c r="T11" s="1084"/>
      <c r="U11" s="1324"/>
      <c r="V11" s="1083"/>
      <c r="W11" s="1083"/>
      <c r="X11" s="1084"/>
      <c r="Y11" s="1324"/>
      <c r="Z11" s="1083"/>
      <c r="AA11" s="1083"/>
      <c r="AB11" s="1084"/>
    </row>
    <row r="12" spans="2:28" ht="60.75" customHeight="1" x14ac:dyDescent="0.25">
      <c r="B12" s="1327"/>
      <c r="C12" s="1042"/>
      <c r="D12" s="97" t="s">
        <v>48</v>
      </c>
      <c r="E12" s="191">
        <v>0.15</v>
      </c>
      <c r="F12" s="192">
        <v>0.4</v>
      </c>
      <c r="G12" s="192">
        <v>0.75</v>
      </c>
      <c r="H12" s="193">
        <v>1</v>
      </c>
      <c r="I12" s="240">
        <v>0</v>
      </c>
      <c r="J12" s="192"/>
      <c r="K12" s="192"/>
      <c r="L12" s="194"/>
      <c r="M12" s="1013"/>
      <c r="N12" s="1016"/>
      <c r="O12" s="1016"/>
      <c r="P12" s="1052"/>
      <c r="Q12" s="1324"/>
      <c r="R12" s="1083"/>
      <c r="S12" s="1083"/>
      <c r="T12" s="1084"/>
      <c r="U12" s="1324"/>
      <c r="V12" s="1083"/>
      <c r="W12" s="1083"/>
      <c r="X12" s="1084"/>
      <c r="Y12" s="1324"/>
      <c r="Z12" s="1083"/>
      <c r="AA12" s="1083"/>
      <c r="AB12" s="1084"/>
    </row>
    <row r="13" spans="2:28" ht="54" customHeight="1" thickBot="1" x14ac:dyDescent="0.3">
      <c r="B13" s="1328"/>
      <c r="C13" s="1043"/>
      <c r="D13" s="98" t="s">
        <v>49</v>
      </c>
      <c r="E13" s="195">
        <v>0.25</v>
      </c>
      <c r="F13" s="196">
        <v>0.5</v>
      </c>
      <c r="G13" s="196">
        <v>0.75</v>
      </c>
      <c r="H13" s="197">
        <v>1</v>
      </c>
      <c r="I13" s="242">
        <v>0</v>
      </c>
      <c r="J13" s="196"/>
      <c r="K13" s="196"/>
      <c r="L13" s="198"/>
      <c r="M13" s="1080"/>
      <c r="N13" s="1081"/>
      <c r="O13" s="1081"/>
      <c r="P13" s="1329"/>
      <c r="Q13" s="1325"/>
      <c r="R13" s="1337"/>
      <c r="S13" s="1337"/>
      <c r="T13" s="1339"/>
      <c r="U13" s="1325"/>
      <c r="V13" s="1337"/>
      <c r="W13" s="1337"/>
      <c r="X13" s="1339"/>
      <c r="Y13" s="1325"/>
      <c r="Z13" s="1337"/>
      <c r="AA13" s="1337"/>
      <c r="AB13" s="1339"/>
    </row>
    <row r="14" spans="2:28" ht="52.5" customHeight="1" x14ac:dyDescent="0.25">
      <c r="B14" s="1333" t="s">
        <v>50</v>
      </c>
      <c r="C14" s="1041">
        <v>0.25</v>
      </c>
      <c r="D14" s="95" t="s">
        <v>51</v>
      </c>
      <c r="E14" s="188">
        <v>0.25</v>
      </c>
      <c r="F14" s="106">
        <v>0.5</v>
      </c>
      <c r="G14" s="106">
        <v>0.75</v>
      </c>
      <c r="H14" s="189">
        <v>1</v>
      </c>
      <c r="I14" s="245">
        <v>0.25</v>
      </c>
      <c r="J14" s="106"/>
      <c r="K14" s="106"/>
      <c r="L14" s="190"/>
      <c r="M14" s="1012">
        <f>+AVERAGE(E14:E16)*$C$14</f>
        <v>5.4166666666666669E-2</v>
      </c>
      <c r="N14" s="1015">
        <f>+AVERAGE(F14:F16)*$C$14</f>
        <v>0.11666666666666665</v>
      </c>
      <c r="O14" s="1015">
        <f>+AVERAGE(G14:G16)*$C$14</f>
        <v>0.1875</v>
      </c>
      <c r="P14" s="1085">
        <f>+AVERAGE(H14:H16)*$C$14</f>
        <v>0.25</v>
      </c>
      <c r="Q14" s="1323">
        <f>+AVERAGE(I14:I16)</f>
        <v>0.22233333333333336</v>
      </c>
      <c r="R14" s="1015" t="e">
        <f>+AVERAGE(J14:J16)</f>
        <v>#DIV/0!</v>
      </c>
      <c r="S14" s="1015" t="e">
        <f>+AVERAGE(K14:K16)</f>
        <v>#DIV/0!</v>
      </c>
      <c r="T14" s="1085" t="e">
        <f>+AVERAGE(L14:L16)</f>
        <v>#DIV/0!</v>
      </c>
      <c r="U14" s="1323">
        <f>+Q14*$C$14</f>
        <v>5.5583333333333339E-2</v>
      </c>
      <c r="V14" s="1015" t="e">
        <f>+R14*$C$14</f>
        <v>#DIV/0!</v>
      </c>
      <c r="W14" s="1015" t="e">
        <f>+S14*$C$14</f>
        <v>#DIV/0!</v>
      </c>
      <c r="X14" s="1085" t="e">
        <f>+T14*$C$14</f>
        <v>#DIV/0!</v>
      </c>
      <c r="Y14" s="1323">
        <f>+U14/M14</f>
        <v>1.0261538461538462</v>
      </c>
      <c r="Z14" s="1015" t="e">
        <f>+V14/N14</f>
        <v>#DIV/0!</v>
      </c>
      <c r="AA14" s="1015" t="e">
        <f>+W14/O14</f>
        <v>#DIV/0!</v>
      </c>
      <c r="AB14" s="1018" t="e">
        <f>+X14/P14</f>
        <v>#DIV/0!</v>
      </c>
    </row>
    <row r="15" spans="2:28" ht="61.5" customHeight="1" x14ac:dyDescent="0.25">
      <c r="B15" s="1334"/>
      <c r="C15" s="1042"/>
      <c r="D15" s="93" t="s">
        <v>52</v>
      </c>
      <c r="E15" s="199">
        <v>0.25</v>
      </c>
      <c r="F15" s="200">
        <v>0.5</v>
      </c>
      <c r="G15" s="200">
        <v>0.75</v>
      </c>
      <c r="H15" s="201">
        <v>1</v>
      </c>
      <c r="I15" s="246">
        <v>0.25</v>
      </c>
      <c r="J15" s="200"/>
      <c r="K15" s="200"/>
      <c r="L15" s="202"/>
      <c r="M15" s="1013"/>
      <c r="N15" s="1016"/>
      <c r="O15" s="1016"/>
      <c r="P15" s="1052"/>
      <c r="Q15" s="1324"/>
      <c r="R15" s="1016"/>
      <c r="S15" s="1016"/>
      <c r="T15" s="1052"/>
      <c r="U15" s="1324"/>
      <c r="V15" s="1016"/>
      <c r="W15" s="1016"/>
      <c r="X15" s="1052"/>
      <c r="Y15" s="1324"/>
      <c r="Z15" s="1016"/>
      <c r="AA15" s="1016"/>
      <c r="AB15" s="1019"/>
    </row>
    <row r="16" spans="2:28" ht="44.25" customHeight="1" thickBot="1" x14ac:dyDescent="0.3">
      <c r="B16" s="1335"/>
      <c r="C16" s="1043"/>
      <c r="D16" s="109" t="s">
        <v>53</v>
      </c>
      <c r="E16" s="203">
        <v>0.15</v>
      </c>
      <c r="F16" s="204">
        <v>0.4</v>
      </c>
      <c r="G16" s="204">
        <v>0.75</v>
      </c>
      <c r="H16" s="205">
        <v>1</v>
      </c>
      <c r="I16" s="243">
        <v>0.16700000000000001</v>
      </c>
      <c r="J16" s="204"/>
      <c r="K16" s="204"/>
      <c r="L16" s="206"/>
      <c r="M16" s="1014"/>
      <c r="N16" s="1017"/>
      <c r="O16" s="1017"/>
      <c r="P16" s="1086"/>
      <c r="Q16" s="1325"/>
      <c r="R16" s="1081"/>
      <c r="S16" s="1081"/>
      <c r="T16" s="1329"/>
      <c r="U16" s="1325"/>
      <c r="V16" s="1081"/>
      <c r="W16" s="1081"/>
      <c r="X16" s="1329"/>
      <c r="Y16" s="1325"/>
      <c r="Z16" s="1081"/>
      <c r="AA16" s="1081"/>
      <c r="AB16" s="1082"/>
    </row>
    <row r="17" spans="2:28" ht="59.25" customHeight="1" x14ac:dyDescent="0.25">
      <c r="B17" s="1326" t="s">
        <v>54</v>
      </c>
      <c r="C17" s="1041">
        <v>0.25</v>
      </c>
      <c r="D17" s="95" t="s">
        <v>55</v>
      </c>
      <c r="E17" s="188">
        <v>0.25</v>
      </c>
      <c r="F17" s="106">
        <v>0.5</v>
      </c>
      <c r="G17" s="106">
        <v>0.75</v>
      </c>
      <c r="H17" s="189">
        <v>1</v>
      </c>
      <c r="I17" s="238">
        <v>0.25</v>
      </c>
      <c r="J17" s="106"/>
      <c r="K17" s="106"/>
      <c r="L17" s="189"/>
      <c r="M17" s="1323">
        <f>+AVERAGE(E17:E19)*$C$17</f>
        <v>6.25E-2</v>
      </c>
      <c r="N17" s="1332">
        <f>+AVERAGE(F17:F19)*$C$17</f>
        <v>0.125</v>
      </c>
      <c r="O17" s="1332">
        <f>+AVERAGE(G17:G19)*$C$17</f>
        <v>0.1875</v>
      </c>
      <c r="P17" s="1330">
        <f>+AVERAGE(H17:H19)*$C$17</f>
        <v>0.25</v>
      </c>
      <c r="Q17" s="1323">
        <f>+AVERAGE(I17:I19)</f>
        <v>0.24566666666666667</v>
      </c>
      <c r="R17" s="1015" t="e">
        <f>+AVERAGE(J17:J19)</f>
        <v>#DIV/0!</v>
      </c>
      <c r="S17" s="1015" t="e">
        <f>+AVERAGE(K17:K19)</f>
        <v>#DIV/0!</v>
      </c>
      <c r="T17" s="1085" t="e">
        <f>+AVERAGE(L17:L19)</f>
        <v>#DIV/0!</v>
      </c>
      <c r="U17" s="1323">
        <f>+Q17*$C$17</f>
        <v>6.1416666666666668E-2</v>
      </c>
      <c r="V17" s="1015" t="e">
        <f>+R17*$C$17</f>
        <v>#DIV/0!</v>
      </c>
      <c r="W17" s="1015" t="e">
        <f>+S17*$C$17</f>
        <v>#DIV/0!</v>
      </c>
      <c r="X17" s="1085" t="e">
        <f>+T17*$C$17</f>
        <v>#DIV/0!</v>
      </c>
      <c r="Y17" s="1323">
        <f>+U17/M17</f>
        <v>0.98266666666666669</v>
      </c>
      <c r="Z17" s="1015" t="e">
        <f>+V17/N17</f>
        <v>#DIV/0!</v>
      </c>
      <c r="AA17" s="1015" t="e">
        <f>+W17/O17</f>
        <v>#DIV/0!</v>
      </c>
      <c r="AB17" s="1018" t="e">
        <f>+X17/P17</f>
        <v>#DIV/0!</v>
      </c>
    </row>
    <row r="18" spans="2:28" ht="53.25" customHeight="1" x14ac:dyDescent="0.25">
      <c r="B18" s="1327"/>
      <c r="C18" s="1042"/>
      <c r="D18" s="93" t="s">
        <v>56</v>
      </c>
      <c r="E18" s="199">
        <v>0.25</v>
      </c>
      <c r="F18" s="200">
        <v>0.5</v>
      </c>
      <c r="G18" s="200">
        <v>0.75</v>
      </c>
      <c r="H18" s="201">
        <v>1</v>
      </c>
      <c r="I18" s="247">
        <v>0.25</v>
      </c>
      <c r="J18" s="200"/>
      <c r="K18" s="200"/>
      <c r="L18" s="201"/>
      <c r="M18" s="1324"/>
      <c r="N18" s="1083"/>
      <c r="O18" s="1083"/>
      <c r="P18" s="1331"/>
      <c r="Q18" s="1324"/>
      <c r="R18" s="1016"/>
      <c r="S18" s="1016"/>
      <c r="T18" s="1052"/>
      <c r="U18" s="1324"/>
      <c r="V18" s="1016"/>
      <c r="W18" s="1016"/>
      <c r="X18" s="1052"/>
      <c r="Y18" s="1324"/>
      <c r="Z18" s="1016"/>
      <c r="AA18" s="1016"/>
      <c r="AB18" s="1019"/>
    </row>
    <row r="19" spans="2:28" ht="55.5" customHeight="1" thickBot="1" x14ac:dyDescent="0.3">
      <c r="B19" s="1328"/>
      <c r="C19" s="1043"/>
      <c r="D19" s="109" t="s">
        <v>57</v>
      </c>
      <c r="E19" s="203">
        <v>0.25</v>
      </c>
      <c r="F19" s="204">
        <v>0.5</v>
      </c>
      <c r="G19" s="204">
        <v>0.75</v>
      </c>
      <c r="H19" s="205">
        <v>1</v>
      </c>
      <c r="I19" s="244">
        <v>0.23699999999999999</v>
      </c>
      <c r="J19" s="204"/>
      <c r="K19" s="204"/>
      <c r="L19" s="205"/>
      <c r="M19" s="1324"/>
      <c r="N19" s="1083"/>
      <c r="O19" s="1083"/>
      <c r="P19" s="1331"/>
      <c r="Q19" s="1325"/>
      <c r="R19" s="1081"/>
      <c r="S19" s="1081"/>
      <c r="T19" s="1329"/>
      <c r="U19" s="1325"/>
      <c r="V19" s="1081"/>
      <c r="W19" s="1081"/>
      <c r="X19" s="1329"/>
      <c r="Y19" s="1325"/>
      <c r="Z19" s="1081"/>
      <c r="AA19" s="1081"/>
      <c r="AB19" s="1082"/>
    </row>
    <row r="20" spans="2:28" ht="56.25" customHeight="1" x14ac:dyDescent="0.25">
      <c r="B20" s="1326" t="s">
        <v>58</v>
      </c>
      <c r="C20" s="1041">
        <v>0.25</v>
      </c>
      <c r="D20" s="95" t="s">
        <v>59</v>
      </c>
      <c r="E20" s="188">
        <v>0.25</v>
      </c>
      <c r="F20" s="106">
        <v>0.5</v>
      </c>
      <c r="G20" s="106">
        <v>0.75</v>
      </c>
      <c r="H20" s="189">
        <v>1</v>
      </c>
      <c r="I20" s="238">
        <v>0.25</v>
      </c>
      <c r="J20" s="106"/>
      <c r="K20" s="106"/>
      <c r="L20" s="189"/>
      <c r="M20" s="1012">
        <f>+AVERAGE(E20:E23)*$C$20</f>
        <v>5.6250000000000001E-2</v>
      </c>
      <c r="N20" s="1015">
        <f>+AVERAGE(F20:F23)*$C$20</f>
        <v>0.125</v>
      </c>
      <c r="O20" s="1015">
        <f>+AVERAGE(G20:G23)*$C$20</f>
        <v>0.1875</v>
      </c>
      <c r="P20" s="1018">
        <f>+AVERAGE(H20:H23)*$C$20</f>
        <v>0.25</v>
      </c>
      <c r="Q20" s="1323">
        <f>+AVERAGE(I20:I23)</f>
        <v>0.22500000000000001</v>
      </c>
      <c r="R20" s="1021" t="e">
        <f>+AVERAGE(J20:J23)</f>
        <v>#DIV/0!</v>
      </c>
      <c r="S20" s="1021" t="e">
        <f>+AVERAGE(K20:K23)</f>
        <v>#DIV/0!</v>
      </c>
      <c r="T20" s="1035" t="e">
        <f>+AVERAGE(L20:L23)</f>
        <v>#DIV/0!</v>
      </c>
      <c r="U20" s="1323">
        <f>+Q20*$C$20</f>
        <v>5.6250000000000001E-2</v>
      </c>
      <c r="V20" s="1021" t="e">
        <f>+R20*$C$20</f>
        <v>#DIV/0!</v>
      </c>
      <c r="W20" s="1021" t="e">
        <f>+S20*$C$20</f>
        <v>#DIV/0!</v>
      </c>
      <c r="X20" s="1046" t="e">
        <f>+T20*$C$20</f>
        <v>#DIV/0!</v>
      </c>
      <c r="Y20" s="1323">
        <f>+U20/M20</f>
        <v>1</v>
      </c>
      <c r="Z20" s="1015" t="e">
        <f>+V20/N20</f>
        <v>#DIV/0!</v>
      </c>
      <c r="AA20" s="1015" t="e">
        <f>+W20/O20</f>
        <v>#DIV/0!</v>
      </c>
      <c r="AB20" s="1018" t="e">
        <f>+X20/P20</f>
        <v>#DIV/0!</v>
      </c>
    </row>
    <row r="21" spans="2:28" ht="49.5" customHeight="1" x14ac:dyDescent="0.25">
      <c r="B21" s="1327"/>
      <c r="C21" s="1042"/>
      <c r="D21" s="93" t="s">
        <v>60</v>
      </c>
      <c r="E21" s="199">
        <v>0.25</v>
      </c>
      <c r="F21" s="200">
        <v>0.5</v>
      </c>
      <c r="G21" s="200">
        <v>0.75</v>
      </c>
      <c r="H21" s="201">
        <v>1</v>
      </c>
      <c r="I21" s="247">
        <v>0.25</v>
      </c>
      <c r="J21" s="200"/>
      <c r="K21" s="200"/>
      <c r="L21" s="201"/>
      <c r="M21" s="1013"/>
      <c r="N21" s="1016"/>
      <c r="O21" s="1016"/>
      <c r="P21" s="1019"/>
      <c r="Q21" s="1324"/>
      <c r="R21" s="1022"/>
      <c r="S21" s="1022"/>
      <c r="T21" s="1036"/>
      <c r="U21" s="1324"/>
      <c r="V21" s="1022"/>
      <c r="W21" s="1022"/>
      <c r="X21" s="1047"/>
      <c r="Y21" s="1324"/>
      <c r="Z21" s="1016"/>
      <c r="AA21" s="1016"/>
      <c r="AB21" s="1019"/>
    </row>
    <row r="22" spans="2:28" ht="36" customHeight="1" x14ac:dyDescent="0.25">
      <c r="B22" s="1327"/>
      <c r="C22" s="1042"/>
      <c r="D22" s="87" t="s">
        <v>61</v>
      </c>
      <c r="E22" s="191">
        <v>0.25</v>
      </c>
      <c r="F22" s="192">
        <v>0.5</v>
      </c>
      <c r="G22" s="192">
        <v>0.75</v>
      </c>
      <c r="H22" s="193">
        <v>1</v>
      </c>
      <c r="I22" s="239">
        <v>0.25</v>
      </c>
      <c r="J22" s="192"/>
      <c r="K22" s="192"/>
      <c r="L22" s="193"/>
      <c r="M22" s="1013"/>
      <c r="N22" s="1016"/>
      <c r="O22" s="1016"/>
      <c r="P22" s="1019"/>
      <c r="Q22" s="1324"/>
      <c r="R22" s="1022"/>
      <c r="S22" s="1022"/>
      <c r="T22" s="1036"/>
      <c r="U22" s="1324"/>
      <c r="V22" s="1022"/>
      <c r="W22" s="1022"/>
      <c r="X22" s="1047"/>
      <c r="Y22" s="1324"/>
      <c r="Z22" s="1016"/>
      <c r="AA22" s="1016"/>
      <c r="AB22" s="1019"/>
    </row>
    <row r="23" spans="2:28" ht="48" customHeight="1" thickBot="1" x14ac:dyDescent="0.3">
      <c r="B23" s="1328"/>
      <c r="C23" s="1043"/>
      <c r="D23" s="96" t="s">
        <v>62</v>
      </c>
      <c r="E23" s="195">
        <v>0.15</v>
      </c>
      <c r="F23" s="196">
        <v>0.5</v>
      </c>
      <c r="G23" s="196">
        <v>0.75</v>
      </c>
      <c r="H23" s="197">
        <v>1</v>
      </c>
      <c r="I23" s="248">
        <v>0.15</v>
      </c>
      <c r="J23" s="196"/>
      <c r="K23" s="196"/>
      <c r="L23" s="197"/>
      <c r="M23" s="1014"/>
      <c r="N23" s="1017"/>
      <c r="O23" s="1017"/>
      <c r="P23" s="1020"/>
      <c r="Q23" s="1325"/>
      <c r="R23" s="1023"/>
      <c r="S23" s="1023"/>
      <c r="T23" s="1037"/>
      <c r="U23" s="1325"/>
      <c r="V23" s="1023"/>
      <c r="W23" s="1023"/>
      <c r="X23" s="1048"/>
      <c r="Y23" s="1325"/>
      <c r="Z23" s="1017"/>
      <c r="AA23" s="1017"/>
      <c r="AB23" s="1020"/>
    </row>
    <row r="24" spans="2:28" s="67" customFormat="1" ht="23.25" customHeight="1" thickBot="1" x14ac:dyDescent="0.3">
      <c r="B24" s="99" t="s">
        <v>12</v>
      </c>
      <c r="C24" s="100">
        <f>SUM(C7:C23)</f>
        <v>1</v>
      </c>
      <c r="D24" s="101"/>
      <c r="E24" s="102"/>
      <c r="F24" s="103"/>
      <c r="G24" s="103"/>
      <c r="H24" s="104"/>
      <c r="I24" s="105"/>
      <c r="J24" s="103"/>
      <c r="K24" s="103"/>
      <c r="L24" s="104"/>
      <c r="M24" s="102">
        <f>SUM(M7:M20)</f>
        <v>0.22113095238095237</v>
      </c>
      <c r="N24" s="69"/>
      <c r="O24" s="69"/>
      <c r="P24" s="70"/>
      <c r="Q24" s="85"/>
      <c r="R24" s="69"/>
      <c r="S24" s="69"/>
      <c r="T24" s="70"/>
      <c r="U24" s="85">
        <f>SUM(U7:U23)</f>
        <v>0.21526785714285715</v>
      </c>
      <c r="V24" s="69" t="e">
        <f>SUM(V7:V23)</f>
        <v>#DIV/0!</v>
      </c>
      <c r="W24" s="69" t="e">
        <f>SUM(W7:W23)</f>
        <v>#DIV/0!</v>
      </c>
      <c r="X24" s="70" t="e">
        <f>SUM(X7:X23)</f>
        <v>#DIV/0!</v>
      </c>
      <c r="Y24" s="85">
        <f>+U24/M24</f>
        <v>0.9734858681022881</v>
      </c>
      <c r="Z24" s="69"/>
      <c r="AA24" s="69"/>
      <c r="AB24" s="70"/>
    </row>
    <row r="25" spans="2:28" x14ac:dyDescent="0.25">
      <c r="J25" s="231"/>
    </row>
    <row r="26" spans="2:28" x14ac:dyDescent="0.25">
      <c r="H26" t="s">
        <v>129</v>
      </c>
      <c r="I26" s="228"/>
      <c r="J26" s="231">
        <f>5/17</f>
        <v>0.29411764705882354</v>
      </c>
    </row>
    <row r="27" spans="2:28" x14ac:dyDescent="0.25">
      <c r="H27" t="s">
        <v>130</v>
      </c>
      <c r="I27" s="229"/>
      <c r="J27" s="231">
        <f>8/17</f>
        <v>0.47058823529411764</v>
      </c>
    </row>
    <row r="28" spans="2:28" x14ac:dyDescent="0.25">
      <c r="H28" t="s">
        <v>131</v>
      </c>
      <c r="I28" s="230"/>
      <c r="J28" s="231">
        <f>4/17</f>
        <v>0.23529411764705882</v>
      </c>
    </row>
    <row r="31" spans="2:28" x14ac:dyDescent="0.25">
      <c r="J31" s="233">
        <f>SUM(J26:J30)</f>
        <v>1</v>
      </c>
    </row>
  </sheetData>
  <mergeCells count="82"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AB7:AB13"/>
    <mergeCell ref="U7:U13"/>
    <mergeCell ref="V7:V13"/>
    <mergeCell ref="O7:O13"/>
    <mergeCell ref="P7:P13"/>
    <mergeCell ref="B7:B13"/>
    <mergeCell ref="C7:C13"/>
    <mergeCell ref="M7:M13"/>
    <mergeCell ref="N7:N13"/>
    <mergeCell ref="AA7:AA13"/>
    <mergeCell ref="P14:P16"/>
    <mergeCell ref="W7:W13"/>
    <mergeCell ref="X7:X13"/>
    <mergeCell ref="Y7:Y13"/>
    <mergeCell ref="Z7:Z13"/>
    <mergeCell ref="Q7:Q13"/>
    <mergeCell ref="R7:R13"/>
    <mergeCell ref="S7:S13"/>
    <mergeCell ref="T7:T13"/>
    <mergeCell ref="B14:B16"/>
    <mergeCell ref="C14:C16"/>
    <mergeCell ref="M14:M16"/>
    <mergeCell ref="N14:N16"/>
    <mergeCell ref="O14:O16"/>
    <mergeCell ref="AB14:AB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  <mergeCell ref="B17:B19"/>
    <mergeCell ref="C17:C19"/>
    <mergeCell ref="M17:M19"/>
    <mergeCell ref="N17:N19"/>
    <mergeCell ref="O17:O19"/>
    <mergeCell ref="AA17:AA19"/>
    <mergeCell ref="AB17:AB19"/>
    <mergeCell ref="Q17:Q19"/>
    <mergeCell ref="R17:R19"/>
    <mergeCell ref="S17:S19"/>
    <mergeCell ref="T17:T19"/>
    <mergeCell ref="U17:U19"/>
    <mergeCell ref="V17:V19"/>
    <mergeCell ref="P20:P23"/>
    <mergeCell ref="W17:W19"/>
    <mergeCell ref="X17:X19"/>
    <mergeCell ref="Y17:Y19"/>
    <mergeCell ref="Z17:Z19"/>
    <mergeCell ref="P17:P19"/>
    <mergeCell ref="B20:B23"/>
    <mergeCell ref="C20:C23"/>
    <mergeCell ref="M20:M23"/>
    <mergeCell ref="N20:N23"/>
    <mergeCell ref="O20:O23"/>
    <mergeCell ref="AB20:AB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2:AC29"/>
  <sheetViews>
    <sheetView tabSelected="1" zoomScale="70" zoomScaleNormal="70" workbookViewId="0">
      <selection activeCell="AF9" sqref="AF9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style="139" customWidth="1"/>
    <col min="4" max="4" width="36" customWidth="1"/>
    <col min="5" max="5" width="24" customWidth="1"/>
    <col min="6" max="7" width="11.42578125" hidden="1" customWidth="1"/>
    <col min="8" max="8" width="12.140625" customWidth="1"/>
    <col min="9" max="10" width="11.42578125" hidden="1" customWidth="1"/>
    <col min="11" max="11" width="11.42578125" style="276" hidden="1" customWidth="1"/>
    <col min="12" max="12" width="12.85546875" style="276" customWidth="1"/>
    <col min="13" max="13" width="11.42578125" style="276" hidden="1" customWidth="1"/>
    <col min="14" max="14" width="11.140625" style="276" hidden="1" customWidth="1"/>
    <col min="15" max="15" width="22.140625" style="276" hidden="1" customWidth="1"/>
    <col min="16" max="16" width="16.7109375" style="276" customWidth="1"/>
    <col min="17" max="18" width="9.5703125" style="276" hidden="1" customWidth="1"/>
    <col min="19" max="19" width="24.5703125" style="276" hidden="1" customWidth="1"/>
    <col min="20" max="20" width="17.28515625" style="276" customWidth="1"/>
    <col min="21" max="22" width="9.5703125" style="276" hidden="1" customWidth="1"/>
    <col min="23" max="23" width="22.85546875" style="276" hidden="1" customWidth="1"/>
    <col min="24" max="24" width="16" style="276" customWidth="1"/>
    <col min="25" max="26" width="9.5703125" style="276" hidden="1" customWidth="1"/>
    <col min="27" max="27" width="19.28515625" style="276" hidden="1" customWidth="1"/>
    <col min="28" max="28" width="16.5703125" customWidth="1"/>
    <col min="29" max="29" width="9.5703125" hidden="1" customWidth="1"/>
    <col min="30" max="30" width="9.5703125" customWidth="1"/>
  </cols>
  <sheetData>
    <row r="2" spans="2:29" s="71" customFormat="1" ht="15.75" thickBot="1" x14ac:dyDescent="0.3">
      <c r="C2" s="346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</row>
    <row r="3" spans="2:29" ht="29.25" thickBot="1" x14ac:dyDescent="0.5">
      <c r="B3" s="1342" t="s">
        <v>308</v>
      </c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  <c r="S3" s="1343"/>
      <c r="T3" s="1343"/>
      <c r="U3" s="1343"/>
      <c r="V3" s="1343"/>
      <c r="W3" s="1343"/>
      <c r="X3" s="1343"/>
      <c r="Y3" s="1343"/>
      <c r="Z3" s="1343"/>
      <c r="AA3" s="1343"/>
      <c r="AB3" s="1343"/>
      <c r="AC3" s="1344"/>
    </row>
    <row r="4" spans="2:29" ht="15" customHeight="1" thickBot="1" x14ac:dyDescent="0.3">
      <c r="B4" s="988"/>
      <c r="C4" s="989"/>
      <c r="D4" s="280"/>
      <c r="E4" s="280"/>
      <c r="F4" s="280"/>
      <c r="G4" s="280"/>
      <c r="H4" s="280"/>
      <c r="I4" s="280"/>
      <c r="J4" s="28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280"/>
      <c r="AC4" s="990"/>
    </row>
    <row r="5" spans="2:29" ht="57.75" customHeight="1" thickTop="1" x14ac:dyDescent="0.25">
      <c r="B5" s="1345" t="s">
        <v>0</v>
      </c>
      <c r="C5" s="1347" t="s">
        <v>1</v>
      </c>
      <c r="D5" s="1349" t="s">
        <v>2</v>
      </c>
      <c r="E5" s="1349" t="s">
        <v>266</v>
      </c>
      <c r="F5" s="1351" t="s">
        <v>3</v>
      </c>
      <c r="G5" s="1352"/>
      <c r="H5" s="1352"/>
      <c r="I5" s="1352"/>
      <c r="J5" s="1351" t="s">
        <v>4</v>
      </c>
      <c r="K5" s="1352"/>
      <c r="L5" s="1352"/>
      <c r="M5" s="1352"/>
      <c r="N5" s="1351" t="s">
        <v>16</v>
      </c>
      <c r="O5" s="1351"/>
      <c r="P5" s="1351"/>
      <c r="Q5" s="1351"/>
      <c r="R5" s="1351" t="s">
        <v>306</v>
      </c>
      <c r="S5" s="1351"/>
      <c r="T5" s="1351"/>
      <c r="U5" s="1351"/>
      <c r="V5" s="1351" t="s">
        <v>6</v>
      </c>
      <c r="W5" s="1351"/>
      <c r="X5" s="1351"/>
      <c r="Y5" s="1351"/>
      <c r="Z5" s="1351" t="s">
        <v>7</v>
      </c>
      <c r="AA5" s="1351"/>
      <c r="AB5" s="1351"/>
      <c r="AC5" s="1353"/>
    </row>
    <row r="6" spans="2:29" ht="15.75" thickBot="1" x14ac:dyDescent="0.3">
      <c r="B6" s="1346"/>
      <c r="C6" s="1348"/>
      <c r="D6" s="1350"/>
      <c r="E6" s="1350"/>
      <c r="F6" s="674" t="s">
        <v>8</v>
      </c>
      <c r="G6" s="674" t="s">
        <v>9</v>
      </c>
      <c r="H6" s="674" t="s">
        <v>10</v>
      </c>
      <c r="I6" s="674" t="s">
        <v>11</v>
      </c>
      <c r="J6" s="674" t="s">
        <v>8</v>
      </c>
      <c r="K6" s="674" t="s">
        <v>9</v>
      </c>
      <c r="L6" s="674" t="s">
        <v>10</v>
      </c>
      <c r="M6" s="674" t="s">
        <v>11</v>
      </c>
      <c r="N6" s="674" t="s">
        <v>8</v>
      </c>
      <c r="O6" s="674" t="s">
        <v>9</v>
      </c>
      <c r="P6" s="674" t="s">
        <v>10</v>
      </c>
      <c r="Q6" s="674" t="s">
        <v>11</v>
      </c>
      <c r="R6" s="674" t="s">
        <v>8</v>
      </c>
      <c r="S6" s="674" t="s">
        <v>9</v>
      </c>
      <c r="T6" s="674" t="s">
        <v>10</v>
      </c>
      <c r="U6" s="674" t="s">
        <v>11</v>
      </c>
      <c r="V6" s="674" t="s">
        <v>8</v>
      </c>
      <c r="W6" s="674" t="s">
        <v>9</v>
      </c>
      <c r="X6" s="674" t="s">
        <v>10</v>
      </c>
      <c r="Y6" s="674" t="s">
        <v>11</v>
      </c>
      <c r="Z6" s="674" t="s">
        <v>8</v>
      </c>
      <c r="AA6" s="674" t="s">
        <v>9</v>
      </c>
      <c r="AB6" s="674" t="s">
        <v>10</v>
      </c>
      <c r="AC6" s="675" t="s">
        <v>11</v>
      </c>
    </row>
    <row r="7" spans="2:29" s="71" customFormat="1" ht="123.75" customHeight="1" x14ac:dyDescent="0.25">
      <c r="B7" s="1354" t="s">
        <v>190</v>
      </c>
      <c r="C7" s="1355">
        <v>0.2</v>
      </c>
      <c r="D7" s="494" t="s">
        <v>332</v>
      </c>
      <c r="E7" s="982" t="s">
        <v>333</v>
      </c>
      <c r="F7" s="282">
        <v>0.25</v>
      </c>
      <c r="G7" s="282">
        <v>0.5</v>
      </c>
      <c r="H7" s="282">
        <v>0.5</v>
      </c>
      <c r="I7" s="282">
        <v>1</v>
      </c>
      <c r="J7" s="983">
        <v>0.25</v>
      </c>
      <c r="K7" s="984"/>
      <c r="L7" s="1594">
        <v>0.5</v>
      </c>
      <c r="M7" s="409"/>
      <c r="N7" s="1341">
        <f>+((F7+F8)/2)*$C$7</f>
        <v>0.05</v>
      </c>
      <c r="O7" s="1341">
        <f>+((G7+G8)/2)*$C$7</f>
        <v>0.1</v>
      </c>
      <c r="P7" s="1341">
        <f>+((H7+H8)/2)*$C$7</f>
        <v>0.125</v>
      </c>
      <c r="Q7" s="1341">
        <f>+AVERAGE(I7:I8)*$C$7</f>
        <v>0.2</v>
      </c>
      <c r="R7" s="1341">
        <f>+(J7+J8)/2</f>
        <v>0.25</v>
      </c>
      <c r="S7" s="1341">
        <f>+(K7+K8)/2</f>
        <v>0.25</v>
      </c>
      <c r="T7" s="1341">
        <f>+(L7+L8)/2</f>
        <v>0.625</v>
      </c>
      <c r="U7" s="1341" t="e">
        <f>+AVERAGE(M7:M8)</f>
        <v>#DIV/0!</v>
      </c>
      <c r="V7" s="1341">
        <f>+R7*$C$7</f>
        <v>0.05</v>
      </c>
      <c r="W7" s="1341">
        <f>+S7*$C$7</f>
        <v>0.05</v>
      </c>
      <c r="X7" s="1341">
        <f>+T7*$C$7</f>
        <v>0.125</v>
      </c>
      <c r="Y7" s="1341" t="e">
        <f>+U7*$C$7</f>
        <v>#DIV/0!</v>
      </c>
      <c r="Z7" s="1341">
        <f>+V7/N7</f>
        <v>1</v>
      </c>
      <c r="AA7" s="1341">
        <f>+W7/O7</f>
        <v>0.5</v>
      </c>
      <c r="AB7" s="1341">
        <f>+X7/P7</f>
        <v>1</v>
      </c>
      <c r="AC7" s="1357" t="e">
        <f>+Y7/Q7</f>
        <v>#DIV/0!</v>
      </c>
    </row>
    <row r="8" spans="2:29" s="71" customFormat="1" ht="58.5" customHeight="1" thickBot="1" x14ac:dyDescent="0.3">
      <c r="B8" s="1354"/>
      <c r="C8" s="1355"/>
      <c r="D8" s="382" t="s">
        <v>191</v>
      </c>
      <c r="E8" s="985" t="s">
        <v>267</v>
      </c>
      <c r="F8" s="282">
        <v>0.25</v>
      </c>
      <c r="G8" s="282">
        <v>0.5</v>
      </c>
      <c r="H8" s="282">
        <v>0.75</v>
      </c>
      <c r="I8" s="282">
        <v>1</v>
      </c>
      <c r="J8" s="983">
        <v>0.25</v>
      </c>
      <c r="K8" s="537">
        <v>0.5</v>
      </c>
      <c r="L8" s="1594">
        <v>0.75</v>
      </c>
      <c r="M8" s="409"/>
      <c r="N8" s="1341"/>
      <c r="O8" s="1341"/>
      <c r="P8" s="1341"/>
      <c r="Q8" s="1341"/>
      <c r="R8" s="1341"/>
      <c r="S8" s="1341"/>
      <c r="T8" s="1341"/>
      <c r="U8" s="1341"/>
      <c r="V8" s="1341"/>
      <c r="W8" s="1341"/>
      <c r="X8" s="1341"/>
      <c r="Y8" s="1341"/>
      <c r="Z8" s="1341"/>
      <c r="AA8" s="1341"/>
      <c r="AB8" s="1341"/>
      <c r="AC8" s="1359"/>
    </row>
    <row r="9" spans="2:29" s="71" customFormat="1" ht="61.5" customHeight="1" x14ac:dyDescent="0.25">
      <c r="B9" s="1354" t="s">
        <v>252</v>
      </c>
      <c r="C9" s="1355">
        <v>0.2</v>
      </c>
      <c r="D9" s="1356" t="s">
        <v>253</v>
      </c>
      <c r="E9" s="985" t="s">
        <v>305</v>
      </c>
      <c r="F9" s="282"/>
      <c r="G9" s="282">
        <v>0.4</v>
      </c>
      <c r="H9" s="282">
        <v>0.6</v>
      </c>
      <c r="I9" s="282">
        <v>1</v>
      </c>
      <c r="J9" s="158"/>
      <c r="K9" s="537">
        <v>0.4</v>
      </c>
      <c r="L9" s="1594">
        <v>0.69</v>
      </c>
      <c r="M9" s="409"/>
      <c r="N9" s="1341"/>
      <c r="O9" s="1341">
        <f>+G9*$C$9</f>
        <v>8.0000000000000016E-2</v>
      </c>
      <c r="P9" s="1341">
        <f>+H9*$C$9</f>
        <v>0.12</v>
      </c>
      <c r="Q9" s="1341">
        <f>+AVERAGE(I9:I10)*$C$9</f>
        <v>0.2</v>
      </c>
      <c r="R9" s="1341"/>
      <c r="S9" s="1341">
        <f>+K9</f>
        <v>0.4</v>
      </c>
      <c r="T9" s="1341">
        <f>+L9</f>
        <v>0.69</v>
      </c>
      <c r="U9" s="1341" t="e">
        <f>+AVERAGE(M9:M10)</f>
        <v>#DIV/0!</v>
      </c>
      <c r="V9" s="1341"/>
      <c r="W9" s="1341">
        <f>+S9*$C$9</f>
        <v>8.0000000000000016E-2</v>
      </c>
      <c r="X9" s="1341">
        <f>+T9*$C$9</f>
        <v>0.13799999999999998</v>
      </c>
      <c r="Y9" s="1341" t="e">
        <f>+U9*$C$9</f>
        <v>#DIV/0!</v>
      </c>
      <c r="Z9" s="1341"/>
      <c r="AA9" s="1341">
        <f>+W9/O9</f>
        <v>1</v>
      </c>
      <c r="AB9" s="1341">
        <f>+X9/P9</f>
        <v>1.1499999999999999</v>
      </c>
      <c r="AC9" s="1357" t="e">
        <f>+Y9/Q9</f>
        <v>#DIV/0!</v>
      </c>
    </row>
    <row r="10" spans="2:29" s="71" customFormat="1" ht="36" customHeight="1" thickBot="1" x14ac:dyDescent="0.3">
      <c r="B10" s="1354"/>
      <c r="C10" s="1355"/>
      <c r="D10" s="1356"/>
      <c r="E10" s="985" t="s">
        <v>268</v>
      </c>
      <c r="F10" s="282"/>
      <c r="G10" s="282"/>
      <c r="H10" s="282"/>
      <c r="I10" s="282">
        <v>1</v>
      </c>
      <c r="J10" s="158"/>
      <c r="K10" s="984"/>
      <c r="L10" s="984"/>
      <c r="M10" s="409"/>
      <c r="N10" s="1341"/>
      <c r="O10" s="1341"/>
      <c r="P10" s="1341"/>
      <c r="Q10" s="1341"/>
      <c r="R10" s="1341"/>
      <c r="S10" s="1341"/>
      <c r="T10" s="1341"/>
      <c r="U10" s="1341"/>
      <c r="V10" s="1341"/>
      <c r="W10" s="1341"/>
      <c r="X10" s="1341"/>
      <c r="Y10" s="1341"/>
      <c r="Z10" s="1341"/>
      <c r="AA10" s="1341"/>
      <c r="AB10" s="1341"/>
      <c r="AC10" s="1359"/>
    </row>
    <row r="11" spans="2:29" s="71" customFormat="1" ht="45.75" customHeight="1" x14ac:dyDescent="0.25">
      <c r="B11" s="1354" t="s">
        <v>254</v>
      </c>
      <c r="C11" s="1355">
        <v>0.3</v>
      </c>
      <c r="D11" s="1356" t="s">
        <v>255</v>
      </c>
      <c r="E11" s="985" t="s">
        <v>269</v>
      </c>
      <c r="F11" s="282">
        <v>0.1</v>
      </c>
      <c r="G11" s="282">
        <v>0.4</v>
      </c>
      <c r="H11" s="282">
        <v>0.75</v>
      </c>
      <c r="I11" s="282">
        <v>1</v>
      </c>
      <c r="J11" s="986">
        <v>0</v>
      </c>
      <c r="K11" s="423">
        <v>0.2</v>
      </c>
      <c r="L11" s="536">
        <v>0.4</v>
      </c>
      <c r="M11" s="409"/>
      <c r="N11" s="1341">
        <f>+AVERAGE(J11:J18)*$C$11</f>
        <v>4.4999999999999998E-2</v>
      </c>
      <c r="O11" s="1341">
        <f>+(AVERAGE(K11:K18)*$C$11)</f>
        <v>0.10971428571428569</v>
      </c>
      <c r="P11" s="1341">
        <f t="shared" ref="P11:Q11" si="0">+(AVERAGE(L11:L18)*$C$11)</f>
        <v>0.18225</v>
      </c>
      <c r="Q11" s="1341" t="e">
        <f t="shared" si="0"/>
        <v>#DIV/0!</v>
      </c>
      <c r="R11" s="1341">
        <f>+AVERAGE(J11:J18)</f>
        <v>0.15</v>
      </c>
      <c r="S11" s="1341">
        <f t="shared" ref="S11:U11" si="1">+AVERAGE(K11:K18)</f>
        <v>0.36571428571428566</v>
      </c>
      <c r="T11" s="1341">
        <f t="shared" si="1"/>
        <v>0.60750000000000004</v>
      </c>
      <c r="U11" s="1341" t="e">
        <f t="shared" si="1"/>
        <v>#DIV/0!</v>
      </c>
      <c r="V11" s="1341">
        <f>+R11*$C$11</f>
        <v>4.4999999999999998E-2</v>
      </c>
      <c r="W11" s="1341">
        <f>+S11*$C$11</f>
        <v>0.10971428571428569</v>
      </c>
      <c r="X11" s="1341">
        <f>+T11*$C$11</f>
        <v>0.18225</v>
      </c>
      <c r="Y11" s="1341" t="e">
        <f>+U11*$C$11</f>
        <v>#DIV/0!</v>
      </c>
      <c r="Z11" s="1341">
        <f>+V11/N11</f>
        <v>1</v>
      </c>
      <c r="AA11" s="1341">
        <f>+W11/O11</f>
        <v>1</v>
      </c>
      <c r="AB11" s="1341">
        <f>+X11/P11</f>
        <v>1</v>
      </c>
      <c r="AC11" s="1357" t="e">
        <f>+Y11/Q11</f>
        <v>#DIV/0!</v>
      </c>
    </row>
    <row r="12" spans="2:29" s="71" customFormat="1" ht="45.75" customHeight="1" x14ac:dyDescent="0.25">
      <c r="B12" s="1354"/>
      <c r="C12" s="1355"/>
      <c r="D12" s="1356"/>
      <c r="E12" s="985" t="s">
        <v>270</v>
      </c>
      <c r="F12" s="282">
        <v>0.25</v>
      </c>
      <c r="G12" s="282">
        <v>0.5</v>
      </c>
      <c r="H12" s="282">
        <v>0.75</v>
      </c>
      <c r="I12" s="282">
        <v>1</v>
      </c>
      <c r="J12" s="983">
        <v>0.25</v>
      </c>
      <c r="K12" s="423">
        <v>0.5</v>
      </c>
      <c r="L12" s="1594">
        <v>0.75</v>
      </c>
      <c r="M12" s="409"/>
      <c r="N12" s="1341"/>
      <c r="O12" s="1341"/>
      <c r="P12" s="1341"/>
      <c r="Q12" s="1341"/>
      <c r="R12" s="1341"/>
      <c r="S12" s="1341"/>
      <c r="T12" s="1341"/>
      <c r="U12" s="1341"/>
      <c r="V12" s="1341"/>
      <c r="W12" s="1341"/>
      <c r="X12" s="1341"/>
      <c r="Y12" s="1341"/>
      <c r="Z12" s="1341"/>
      <c r="AA12" s="1341"/>
      <c r="AB12" s="1341"/>
      <c r="AC12" s="1358"/>
    </row>
    <row r="13" spans="2:29" s="71" customFormat="1" ht="45.75" customHeight="1" x14ac:dyDescent="0.25">
      <c r="B13" s="1354"/>
      <c r="C13" s="1355"/>
      <c r="D13" s="1356" t="s">
        <v>256</v>
      </c>
      <c r="E13" s="985" t="s">
        <v>270</v>
      </c>
      <c r="F13" s="282"/>
      <c r="G13" s="282">
        <v>0.3</v>
      </c>
      <c r="H13" s="282">
        <v>0.7</v>
      </c>
      <c r="I13" s="282">
        <v>1</v>
      </c>
      <c r="J13" s="158"/>
      <c r="K13" s="423">
        <v>0.3</v>
      </c>
      <c r="L13" s="1594">
        <v>0.7</v>
      </c>
      <c r="M13" s="409"/>
      <c r="N13" s="1341"/>
      <c r="O13" s="1341"/>
      <c r="P13" s="1341"/>
      <c r="Q13" s="1341"/>
      <c r="R13" s="1341"/>
      <c r="S13" s="1341"/>
      <c r="T13" s="1341"/>
      <c r="U13" s="1341"/>
      <c r="V13" s="1341"/>
      <c r="W13" s="1341"/>
      <c r="X13" s="1341"/>
      <c r="Y13" s="1341"/>
      <c r="Z13" s="1341"/>
      <c r="AA13" s="1341"/>
      <c r="AB13" s="1341"/>
      <c r="AC13" s="1358"/>
    </row>
    <row r="14" spans="2:29" s="71" customFormat="1" ht="45.75" customHeight="1" x14ac:dyDescent="0.25">
      <c r="B14" s="1354"/>
      <c r="C14" s="1355"/>
      <c r="D14" s="1356"/>
      <c r="E14" s="985" t="s">
        <v>271</v>
      </c>
      <c r="F14" s="282"/>
      <c r="G14" s="282"/>
      <c r="H14" s="282"/>
      <c r="I14" s="282">
        <v>1</v>
      </c>
      <c r="J14" s="158"/>
      <c r="K14" s="409"/>
      <c r="L14" s="1594">
        <v>0.5</v>
      </c>
      <c r="M14" s="409"/>
      <c r="N14" s="1341"/>
      <c r="O14" s="1341"/>
      <c r="P14" s="1341"/>
      <c r="Q14" s="1341"/>
      <c r="R14" s="1341"/>
      <c r="S14" s="1341"/>
      <c r="T14" s="1341"/>
      <c r="U14" s="1341"/>
      <c r="V14" s="1341"/>
      <c r="W14" s="1341"/>
      <c r="X14" s="1341"/>
      <c r="Y14" s="1341"/>
      <c r="Z14" s="1341"/>
      <c r="AA14" s="1341"/>
      <c r="AB14" s="1341"/>
      <c r="AC14" s="1358"/>
    </row>
    <row r="15" spans="2:29" s="71" customFormat="1" ht="45.75" customHeight="1" x14ac:dyDescent="0.25">
      <c r="B15" s="1354"/>
      <c r="C15" s="1355"/>
      <c r="D15" s="382" t="s">
        <v>257</v>
      </c>
      <c r="E15" s="985" t="s">
        <v>272</v>
      </c>
      <c r="F15" s="282">
        <v>0.3</v>
      </c>
      <c r="G15" s="282">
        <v>0.65</v>
      </c>
      <c r="H15" s="282">
        <v>1</v>
      </c>
      <c r="I15" s="282">
        <v>1</v>
      </c>
      <c r="J15" s="986">
        <v>0.1</v>
      </c>
      <c r="K15" s="423">
        <v>0.4</v>
      </c>
      <c r="L15" s="1594">
        <v>0.7</v>
      </c>
      <c r="M15" s="409"/>
      <c r="N15" s="1341"/>
      <c r="O15" s="1341"/>
      <c r="P15" s="1341"/>
      <c r="Q15" s="1341"/>
      <c r="R15" s="1341"/>
      <c r="S15" s="1341"/>
      <c r="T15" s="1341"/>
      <c r="U15" s="1341"/>
      <c r="V15" s="1341"/>
      <c r="W15" s="1341"/>
      <c r="X15" s="1341"/>
      <c r="Y15" s="1341"/>
      <c r="Z15" s="1341"/>
      <c r="AA15" s="1341"/>
      <c r="AB15" s="1341"/>
      <c r="AC15" s="1358"/>
    </row>
    <row r="16" spans="2:29" s="71" customFormat="1" ht="45.75" customHeight="1" x14ac:dyDescent="0.25">
      <c r="B16" s="1354"/>
      <c r="C16" s="1355"/>
      <c r="D16" s="382" t="s">
        <v>258</v>
      </c>
      <c r="E16" s="985" t="s">
        <v>273</v>
      </c>
      <c r="F16" s="282"/>
      <c r="G16" s="282">
        <v>0.4</v>
      </c>
      <c r="H16" s="282">
        <v>0.6</v>
      </c>
      <c r="I16" s="282">
        <v>1</v>
      </c>
      <c r="J16" s="983">
        <v>0.25</v>
      </c>
      <c r="K16" s="423">
        <v>0.4</v>
      </c>
      <c r="L16" s="1594">
        <v>0.7</v>
      </c>
      <c r="M16" s="409"/>
      <c r="N16" s="1341"/>
      <c r="O16" s="1341"/>
      <c r="P16" s="1341"/>
      <c r="Q16" s="1341"/>
      <c r="R16" s="1341"/>
      <c r="S16" s="1341"/>
      <c r="T16" s="1341"/>
      <c r="U16" s="1341"/>
      <c r="V16" s="1341"/>
      <c r="W16" s="1341"/>
      <c r="X16" s="1341"/>
      <c r="Y16" s="1341"/>
      <c r="Z16" s="1341"/>
      <c r="AA16" s="1341"/>
      <c r="AB16" s="1341"/>
      <c r="AC16" s="1358"/>
    </row>
    <row r="17" spans="2:29" s="71" customFormat="1" ht="45.75" customHeight="1" x14ac:dyDescent="0.25">
      <c r="B17" s="1354"/>
      <c r="C17" s="1355"/>
      <c r="D17" s="1356" t="s">
        <v>259</v>
      </c>
      <c r="E17" s="985" t="s">
        <v>275</v>
      </c>
      <c r="F17" s="282">
        <v>0.1</v>
      </c>
      <c r="G17" s="282">
        <v>0.6</v>
      </c>
      <c r="H17" s="282">
        <v>0.7</v>
      </c>
      <c r="I17" s="282">
        <v>1</v>
      </c>
      <c r="J17" s="983">
        <v>0.1</v>
      </c>
      <c r="K17" s="423">
        <v>0.3</v>
      </c>
      <c r="L17" s="536">
        <v>0.61</v>
      </c>
      <c r="M17" s="409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58"/>
    </row>
    <row r="18" spans="2:29" s="71" customFormat="1" ht="45.75" customHeight="1" thickBot="1" x14ac:dyDescent="0.3">
      <c r="B18" s="1354"/>
      <c r="C18" s="1355"/>
      <c r="D18" s="1356"/>
      <c r="E18" s="985" t="s">
        <v>274</v>
      </c>
      <c r="F18" s="282">
        <v>0.25</v>
      </c>
      <c r="G18" s="282">
        <v>0.5</v>
      </c>
      <c r="H18" s="282">
        <v>0.75</v>
      </c>
      <c r="I18" s="282">
        <v>1</v>
      </c>
      <c r="J18" s="986">
        <v>0.2</v>
      </c>
      <c r="K18" s="423">
        <v>0.46</v>
      </c>
      <c r="L18" s="536">
        <v>0.5</v>
      </c>
      <c r="M18" s="409"/>
      <c r="N18" s="1341"/>
      <c r="O18" s="1341"/>
      <c r="P18" s="1341"/>
      <c r="Q18" s="1341"/>
      <c r="R18" s="1341"/>
      <c r="S18" s="1341"/>
      <c r="T18" s="1341"/>
      <c r="U18" s="1341"/>
      <c r="V18" s="1341"/>
      <c r="W18" s="1341"/>
      <c r="X18" s="1341"/>
      <c r="Y18" s="1341"/>
      <c r="Z18" s="1341"/>
      <c r="AA18" s="1341"/>
      <c r="AB18" s="1341"/>
      <c r="AC18" s="1359"/>
    </row>
    <row r="19" spans="2:29" s="71" customFormat="1" ht="47.25" customHeight="1" x14ac:dyDescent="0.25">
      <c r="B19" s="1354" t="s">
        <v>260</v>
      </c>
      <c r="C19" s="1355">
        <v>0.2</v>
      </c>
      <c r="D19" s="1356" t="s">
        <v>261</v>
      </c>
      <c r="E19" s="987" t="s">
        <v>276</v>
      </c>
      <c r="F19" s="282"/>
      <c r="G19" s="282"/>
      <c r="H19" s="282"/>
      <c r="I19" s="282">
        <v>1</v>
      </c>
      <c r="J19" s="158"/>
      <c r="K19" s="409"/>
      <c r="L19" s="1594">
        <v>0.1</v>
      </c>
      <c r="M19" s="409"/>
      <c r="N19" s="1341">
        <f>+((J20+J21)/2)*C19</f>
        <v>4.5000000000000005E-2</v>
      </c>
      <c r="O19" s="1341">
        <f>+((G20+G21)/2)*$C$19</f>
        <v>7.5000000000000011E-2</v>
      </c>
      <c r="P19" s="1341">
        <f>+((H20+H21)/2)*$C$19</f>
        <v>0.15000000000000002</v>
      </c>
      <c r="Q19" s="1341">
        <f>+((I20+I21)/2)*$C$19</f>
        <v>0.2</v>
      </c>
      <c r="R19" s="1341">
        <f>+(J20+J21)/2</f>
        <v>0.22500000000000001</v>
      </c>
      <c r="S19" s="1341">
        <f>+AVERAGE(K20:K21)</f>
        <v>0.5</v>
      </c>
      <c r="T19" s="1341">
        <f>+AVERAGE(L19:L21)</f>
        <v>0.58866666666666667</v>
      </c>
      <c r="U19" s="1341" t="e">
        <f>+AVERAGE(M19:M21)</f>
        <v>#DIV/0!</v>
      </c>
      <c r="V19" s="1341">
        <f>+R19*C19</f>
        <v>4.5000000000000005E-2</v>
      </c>
      <c r="W19" s="1341">
        <f>+S19*$C$19</f>
        <v>0.1</v>
      </c>
      <c r="X19" s="1341">
        <f>+T19*$C$19</f>
        <v>0.11773333333333334</v>
      </c>
      <c r="Y19" s="1341" t="e">
        <f>+U19*$C$19</f>
        <v>#DIV/0!</v>
      </c>
      <c r="Z19" s="1341">
        <f>+V19/N19</f>
        <v>1</v>
      </c>
      <c r="AA19" s="1341">
        <f>+W19/O19</f>
        <v>1.3333333333333333</v>
      </c>
      <c r="AB19" s="1341">
        <f>+X19/P19</f>
        <v>0.78488888888888886</v>
      </c>
      <c r="AC19" s="1357" t="e">
        <f>+Y19/Q19</f>
        <v>#DIV/0!</v>
      </c>
    </row>
    <row r="20" spans="2:29" s="71" customFormat="1" ht="56.25" customHeight="1" x14ac:dyDescent="0.25">
      <c r="B20" s="1354"/>
      <c r="C20" s="1355"/>
      <c r="D20" s="1356"/>
      <c r="E20" s="985" t="s">
        <v>277</v>
      </c>
      <c r="F20" s="282"/>
      <c r="G20" s="282">
        <v>0.25</v>
      </c>
      <c r="H20" s="282">
        <v>0.5</v>
      </c>
      <c r="I20" s="282">
        <v>1</v>
      </c>
      <c r="J20" s="983">
        <v>0.25</v>
      </c>
      <c r="K20" s="541">
        <v>0.5</v>
      </c>
      <c r="L20" s="1594">
        <v>0.83299999999999996</v>
      </c>
      <c r="M20" s="409"/>
      <c r="N20" s="1341"/>
      <c r="O20" s="1341"/>
      <c r="P20" s="1341"/>
      <c r="Q20" s="1341"/>
      <c r="R20" s="1341"/>
      <c r="S20" s="1341"/>
      <c r="T20" s="1341"/>
      <c r="U20" s="1341"/>
      <c r="V20" s="1341"/>
      <c r="W20" s="1341"/>
      <c r="X20" s="1341"/>
      <c r="Y20" s="1341"/>
      <c r="Z20" s="1341"/>
      <c r="AA20" s="1341"/>
      <c r="AB20" s="1341"/>
      <c r="AC20" s="1358"/>
    </row>
    <row r="21" spans="2:29" s="71" customFormat="1" ht="58.5" customHeight="1" thickBot="1" x14ac:dyDescent="0.3">
      <c r="B21" s="1354"/>
      <c r="C21" s="1355"/>
      <c r="D21" s="382" t="s">
        <v>262</v>
      </c>
      <c r="E21" s="985" t="s">
        <v>278</v>
      </c>
      <c r="F21" s="282"/>
      <c r="G21" s="282">
        <v>0.5</v>
      </c>
      <c r="H21" s="282">
        <v>1</v>
      </c>
      <c r="I21" s="282">
        <v>1</v>
      </c>
      <c r="J21" s="983">
        <v>0.2</v>
      </c>
      <c r="K21" s="965">
        <v>0.5</v>
      </c>
      <c r="L21" s="536">
        <v>0.83299999999999996</v>
      </c>
      <c r="M21" s="409"/>
      <c r="N21" s="1341"/>
      <c r="O21" s="1341"/>
      <c r="P21" s="1341"/>
      <c r="Q21" s="1341"/>
      <c r="R21" s="1341"/>
      <c r="S21" s="1341"/>
      <c r="T21" s="1341"/>
      <c r="U21" s="1341"/>
      <c r="V21" s="1341"/>
      <c r="W21" s="1341"/>
      <c r="X21" s="1341"/>
      <c r="Y21" s="1341"/>
      <c r="Z21" s="1341"/>
      <c r="AA21" s="1341"/>
      <c r="AB21" s="1341"/>
      <c r="AC21" s="1359"/>
    </row>
    <row r="22" spans="2:29" s="71" customFormat="1" ht="107.25" customHeight="1" thickBot="1" x14ac:dyDescent="0.3">
      <c r="B22" s="991" t="s">
        <v>263</v>
      </c>
      <c r="C22" s="809">
        <v>0.1</v>
      </c>
      <c r="D22" s="382" t="s">
        <v>264</v>
      </c>
      <c r="E22" s="985" t="s">
        <v>279</v>
      </c>
      <c r="F22" s="282"/>
      <c r="G22" s="282">
        <v>0.5</v>
      </c>
      <c r="H22" s="282">
        <v>0.5</v>
      </c>
      <c r="I22" s="282">
        <v>1</v>
      </c>
      <c r="J22" s="983">
        <v>0.1</v>
      </c>
      <c r="K22" s="965">
        <v>0.3</v>
      </c>
      <c r="L22" s="1594">
        <v>0.5</v>
      </c>
      <c r="M22" s="409"/>
      <c r="N22" s="808">
        <f>+J22*C22</f>
        <v>1.0000000000000002E-2</v>
      </c>
      <c r="O22" s="808">
        <f>+G22*$C$22</f>
        <v>0.05</v>
      </c>
      <c r="P22" s="808">
        <f>+H22*$C$22</f>
        <v>0.05</v>
      </c>
      <c r="Q22" s="808">
        <f>+I22*$C$22</f>
        <v>0.1</v>
      </c>
      <c r="R22" s="808">
        <f>+J22</f>
        <v>0.1</v>
      </c>
      <c r="S22" s="808">
        <f>+K22</f>
        <v>0.3</v>
      </c>
      <c r="T22" s="808">
        <f>+L22</f>
        <v>0.5</v>
      </c>
      <c r="U22" s="808">
        <f>+M22</f>
        <v>0</v>
      </c>
      <c r="V22" s="808">
        <f>+R22*C22</f>
        <v>1.0000000000000002E-2</v>
      </c>
      <c r="W22" s="808">
        <f>+S22*$C$22</f>
        <v>0.03</v>
      </c>
      <c r="X22" s="808">
        <f>+T22*$C$22</f>
        <v>0.05</v>
      </c>
      <c r="Y22" s="808">
        <f>+U22*$C$22</f>
        <v>0</v>
      </c>
      <c r="Z22" s="808">
        <f>+V22/N22</f>
        <v>1</v>
      </c>
      <c r="AA22" s="808">
        <f t="shared" ref="AA22:AC23" si="2">+W22/O22</f>
        <v>0.6</v>
      </c>
      <c r="AB22" s="808">
        <f t="shared" si="2"/>
        <v>1</v>
      </c>
      <c r="AC22" s="522">
        <f t="shared" si="2"/>
        <v>0</v>
      </c>
    </row>
    <row r="23" spans="2:29" s="591" customFormat="1" ht="27" customHeight="1" thickBot="1" x14ac:dyDescent="0.3">
      <c r="B23" s="992" t="s">
        <v>12</v>
      </c>
      <c r="C23" s="993">
        <f>SUM(C7:C22)</f>
        <v>0.99999999999999989</v>
      </c>
      <c r="D23" s="994"/>
      <c r="E23" s="994"/>
      <c r="F23" s="995"/>
      <c r="G23" s="995"/>
      <c r="H23" s="995"/>
      <c r="I23" s="995"/>
      <c r="J23" s="995"/>
      <c r="K23" s="995"/>
      <c r="L23" s="995"/>
      <c r="M23" s="995"/>
      <c r="N23" s="995">
        <f>SUM(N7:N22)</f>
        <v>0.15000000000000002</v>
      </c>
      <c r="O23" s="995">
        <f>SUM(O7:O22)</f>
        <v>0.4147142857142857</v>
      </c>
      <c r="P23" s="995">
        <f>SUM(P7:P22)</f>
        <v>0.62725000000000009</v>
      </c>
      <c r="Q23" s="995" t="e">
        <f>SUM(Q7:Q22)</f>
        <v>#DIV/0!</v>
      </c>
      <c r="R23" s="996"/>
      <c r="S23" s="996"/>
      <c r="T23" s="996"/>
      <c r="U23" s="996"/>
      <c r="V23" s="995">
        <f>SUM(V7:V22)</f>
        <v>0.15000000000000002</v>
      </c>
      <c r="W23" s="995">
        <f>SUM(W7:W22)</f>
        <v>0.36971428571428577</v>
      </c>
      <c r="X23" s="995">
        <f>SUM(X7:X22)</f>
        <v>0.61298333333333344</v>
      </c>
      <c r="Y23" s="996" t="e">
        <f>SUM(Y7:Y22)</f>
        <v>#DIV/0!</v>
      </c>
      <c r="Z23" s="995">
        <f>+V23/N23</f>
        <v>1</v>
      </c>
      <c r="AA23" s="995">
        <f t="shared" si="2"/>
        <v>0.89149156045470224</v>
      </c>
      <c r="AB23" s="995">
        <f t="shared" si="2"/>
        <v>0.97725521456091402</v>
      </c>
      <c r="AC23" s="624" t="e">
        <f t="shared" si="2"/>
        <v>#DIV/0!</v>
      </c>
    </row>
    <row r="24" spans="2:29" x14ac:dyDescent="0.25">
      <c r="K24" s="402"/>
      <c r="L24" s="402"/>
    </row>
    <row r="25" spans="2:29" x14ac:dyDescent="0.25">
      <c r="F25" s="556" t="s">
        <v>129</v>
      </c>
      <c r="G25" s="287"/>
      <c r="H25" s="287"/>
      <c r="I25" s="287"/>
      <c r="K25" s="620">
        <v>8.3333333333333329E-2</v>
      </c>
      <c r="L25" s="1595"/>
      <c r="O25" s="276">
        <v>1</v>
      </c>
      <c r="P25" s="463">
        <f>4/15</f>
        <v>0.26666666666666666</v>
      </c>
    </row>
    <row r="26" spans="2:29" x14ac:dyDescent="0.25">
      <c r="F26" s="557" t="s">
        <v>130</v>
      </c>
      <c r="G26" s="287"/>
      <c r="H26" s="287"/>
      <c r="I26" s="287"/>
      <c r="K26" s="621">
        <v>0.16666666666666666</v>
      </c>
      <c r="L26" s="1596"/>
      <c r="O26" s="276">
        <v>2</v>
      </c>
      <c r="P26" s="463">
        <f>7/15</f>
        <v>0.46666666666666667</v>
      </c>
    </row>
    <row r="27" spans="2:29" x14ac:dyDescent="0.25">
      <c r="F27" s="558" t="s">
        <v>131</v>
      </c>
      <c r="G27" s="287"/>
      <c r="H27" s="287"/>
      <c r="I27" s="287"/>
      <c r="K27" s="622">
        <v>0.75</v>
      </c>
      <c r="L27" s="1597"/>
      <c r="O27" s="276">
        <v>9</v>
      </c>
      <c r="P27" s="463">
        <f>4/15</f>
        <v>0.26666666666666666</v>
      </c>
    </row>
    <row r="28" spans="2:29" x14ac:dyDescent="0.25">
      <c r="F28" s="559" t="s">
        <v>12</v>
      </c>
      <c r="G28" s="287"/>
      <c r="H28" s="287"/>
      <c r="I28" s="287"/>
      <c r="K28" s="623">
        <f>SUM(K25:K27)</f>
        <v>1</v>
      </c>
      <c r="L28" s="553"/>
      <c r="P28" s="386">
        <f>SUM(P25:P27)</f>
        <v>1</v>
      </c>
    </row>
    <row r="29" spans="2:29" x14ac:dyDescent="0.25">
      <c r="G29" s="287"/>
      <c r="H29" s="287"/>
      <c r="I29" s="287"/>
      <c r="K29" s="554"/>
    </row>
  </sheetData>
  <mergeCells count="88">
    <mergeCell ref="AA19:AA21"/>
    <mergeCell ref="AB19:AB21"/>
    <mergeCell ref="AC19:AC21"/>
    <mergeCell ref="Z19:Z21"/>
    <mergeCell ref="W19:W21"/>
    <mergeCell ref="X19:X21"/>
    <mergeCell ref="Y19:Y21"/>
    <mergeCell ref="U19:U21"/>
    <mergeCell ref="V19:V21"/>
    <mergeCell ref="P19:P21"/>
    <mergeCell ref="Q19:Q21"/>
    <mergeCell ref="R19:R21"/>
    <mergeCell ref="S19:S21"/>
    <mergeCell ref="T19:T21"/>
    <mergeCell ref="C19:C21"/>
    <mergeCell ref="B19:B21"/>
    <mergeCell ref="D19:D20"/>
    <mergeCell ref="N19:N21"/>
    <mergeCell ref="O19:O21"/>
    <mergeCell ref="AC11:AC18"/>
    <mergeCell ref="AC7:AC8"/>
    <mergeCell ref="N11:N18"/>
    <mergeCell ref="O11:O18"/>
    <mergeCell ref="P11:P18"/>
    <mergeCell ref="Q11:Q18"/>
    <mergeCell ref="R11:R18"/>
    <mergeCell ref="S11:S18"/>
    <mergeCell ref="T11:T18"/>
    <mergeCell ref="U11:U18"/>
    <mergeCell ref="V11:V18"/>
    <mergeCell ref="W11:W18"/>
    <mergeCell ref="AC9:AC10"/>
    <mergeCell ref="N9:N10"/>
    <mergeCell ref="P9:P10"/>
    <mergeCell ref="Q9:Q10"/>
    <mergeCell ref="O9:O10"/>
    <mergeCell ref="O7:O8"/>
    <mergeCell ref="P7:P8"/>
    <mergeCell ref="Q7:Q8"/>
    <mergeCell ref="R7:R8"/>
    <mergeCell ref="R9:R10"/>
    <mergeCell ref="S9:S10"/>
    <mergeCell ref="U9:U10"/>
    <mergeCell ref="V9:V10"/>
    <mergeCell ref="W9:W10"/>
    <mergeCell ref="T9:T10"/>
    <mergeCell ref="AB11:AB18"/>
    <mergeCell ref="X7:X8"/>
    <mergeCell ref="Y7:Y8"/>
    <mergeCell ref="Z7:Z8"/>
    <mergeCell ref="AA7:AA8"/>
    <mergeCell ref="AB7:AB8"/>
    <mergeCell ref="Y9:Y10"/>
    <mergeCell ref="Z9:Z10"/>
    <mergeCell ref="AA9:AA10"/>
    <mergeCell ref="AB9:AB10"/>
    <mergeCell ref="X11:X18"/>
    <mergeCell ref="Y11:Y18"/>
    <mergeCell ref="Z11:Z18"/>
    <mergeCell ref="AA11:AA18"/>
    <mergeCell ref="X9:X10"/>
    <mergeCell ref="B11:B18"/>
    <mergeCell ref="C11:C18"/>
    <mergeCell ref="N7:N8"/>
    <mergeCell ref="B7:B8"/>
    <mergeCell ref="C7:C8"/>
    <mergeCell ref="D11:D12"/>
    <mergeCell ref="D13:D14"/>
    <mergeCell ref="D17:D18"/>
    <mergeCell ref="B9:B10"/>
    <mergeCell ref="C9:C10"/>
    <mergeCell ref="D9:D10"/>
    <mergeCell ref="V7:V8"/>
    <mergeCell ref="B3:AC3"/>
    <mergeCell ref="B5:B6"/>
    <mergeCell ref="C5:C6"/>
    <mergeCell ref="D5:D6"/>
    <mergeCell ref="F5:I5"/>
    <mergeCell ref="J5:M5"/>
    <mergeCell ref="N5:Q5"/>
    <mergeCell ref="R5:U5"/>
    <mergeCell ref="V5:Y5"/>
    <mergeCell ref="Z5:AC5"/>
    <mergeCell ref="W7:W8"/>
    <mergeCell ref="E5:E6"/>
    <mergeCell ref="S7:S8"/>
    <mergeCell ref="T7:T8"/>
    <mergeCell ref="U7:U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31"/>
  <sheetViews>
    <sheetView topLeftCell="A15" zoomScale="80" zoomScaleNormal="80" workbookViewId="0">
      <selection activeCell="S15" sqref="S15:S19"/>
    </sheetView>
  </sheetViews>
  <sheetFormatPr baseColWidth="10" defaultRowHeight="15" x14ac:dyDescent="0.25"/>
  <cols>
    <col min="1" max="1" width="1.85546875" customWidth="1"/>
    <col min="2" max="2" width="34.42578125" customWidth="1"/>
    <col min="3" max="3" width="13.28515625" style="139" customWidth="1"/>
    <col min="4" max="4" width="36" customWidth="1"/>
    <col min="5" max="5" width="9.42578125" hidden="1" customWidth="1"/>
    <col min="6" max="6" width="14.28515625" hidden="1" customWidth="1"/>
    <col min="7" max="7" width="18.5703125" customWidth="1"/>
    <col min="8" max="8" width="11.42578125" hidden="1" customWidth="1"/>
    <col min="9" max="9" width="11.28515625" hidden="1" customWidth="1"/>
    <col min="10" max="10" width="14.7109375" style="276" hidden="1" customWidth="1"/>
    <col min="11" max="11" width="17.28515625" customWidth="1"/>
    <col min="12" max="12" width="11.42578125" hidden="1" customWidth="1"/>
    <col min="13" max="13" width="11.42578125" style="139" hidden="1" customWidth="1"/>
    <col min="14" max="14" width="19.7109375" style="139" hidden="1" customWidth="1"/>
    <col min="15" max="15" width="18" style="139" customWidth="1"/>
    <col min="16" max="16" width="11.42578125" style="139" hidden="1" customWidth="1"/>
    <col min="17" max="17" width="8.28515625" style="139" hidden="1" customWidth="1"/>
    <col min="18" max="18" width="0.7109375" style="139" hidden="1" customWidth="1"/>
    <col min="19" max="19" width="16.5703125" style="139" customWidth="1"/>
    <col min="20" max="20" width="11.42578125" style="139" hidden="1" customWidth="1"/>
    <col min="21" max="21" width="19.7109375" style="139" hidden="1" customWidth="1"/>
    <col min="22" max="22" width="22" style="139" hidden="1" customWidth="1"/>
    <col min="23" max="23" width="15.28515625" style="139" customWidth="1"/>
    <col min="24" max="24" width="11.42578125" style="139" hidden="1" customWidth="1"/>
    <col min="25" max="25" width="20.42578125" style="139" hidden="1" customWidth="1"/>
    <col min="26" max="26" width="22.85546875" style="139" hidden="1" customWidth="1"/>
    <col min="27" max="27" width="15.28515625" style="139" customWidth="1"/>
    <col min="28" max="28" width="10.42578125" style="139" hidden="1" customWidth="1"/>
  </cols>
  <sheetData>
    <row r="2" spans="2:28" ht="15.75" thickBot="1" x14ac:dyDescent="0.3"/>
    <row r="3" spans="2:28" ht="32.25" thickBot="1" x14ac:dyDescent="0.55000000000000004">
      <c r="B3" s="1366" t="s">
        <v>309</v>
      </c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  <c r="S3" s="1367"/>
      <c r="T3" s="1367"/>
      <c r="U3" s="1367"/>
      <c r="V3" s="1367"/>
      <c r="W3" s="1367"/>
      <c r="X3" s="1367"/>
      <c r="Y3" s="1367"/>
      <c r="Z3" s="1367"/>
      <c r="AA3" s="1367"/>
      <c r="AB3" s="1368"/>
    </row>
    <row r="4" spans="2:28" ht="13.5" customHeight="1" thickBot="1" x14ac:dyDescent="0.3"/>
    <row r="5" spans="2:28" ht="85.5" customHeight="1" thickTop="1" x14ac:dyDescent="0.25">
      <c r="B5" s="1369" t="s">
        <v>0</v>
      </c>
      <c r="C5" s="1371" t="s">
        <v>1</v>
      </c>
      <c r="D5" s="1373" t="s">
        <v>2</v>
      </c>
      <c r="E5" s="1375" t="s">
        <v>3</v>
      </c>
      <c r="F5" s="1376"/>
      <c r="G5" s="1376"/>
      <c r="H5" s="1377"/>
      <c r="I5" s="1375" t="s">
        <v>4</v>
      </c>
      <c r="J5" s="1376"/>
      <c r="K5" s="1376"/>
      <c r="L5" s="1377"/>
      <c r="M5" s="1375" t="s">
        <v>16</v>
      </c>
      <c r="N5" s="1378"/>
      <c r="O5" s="1378"/>
      <c r="P5" s="1379"/>
      <c r="Q5" s="1375" t="s">
        <v>5</v>
      </c>
      <c r="R5" s="1378"/>
      <c r="S5" s="1378"/>
      <c r="T5" s="1379"/>
      <c r="U5" s="1375" t="s">
        <v>6</v>
      </c>
      <c r="V5" s="1378"/>
      <c r="W5" s="1378"/>
      <c r="X5" s="1379"/>
      <c r="Y5" s="1375" t="s">
        <v>7</v>
      </c>
      <c r="Z5" s="1378"/>
      <c r="AA5" s="1378"/>
      <c r="AB5" s="1380"/>
    </row>
    <row r="6" spans="2:28" ht="16.5" thickBot="1" x14ac:dyDescent="0.3">
      <c r="B6" s="1370"/>
      <c r="C6" s="1372"/>
      <c r="D6" s="1374"/>
      <c r="E6" s="896" t="s">
        <v>8</v>
      </c>
      <c r="F6" s="897" t="s">
        <v>9</v>
      </c>
      <c r="G6" s="897" t="s">
        <v>10</v>
      </c>
      <c r="H6" s="898" t="s">
        <v>11</v>
      </c>
      <c r="I6" s="896" t="s">
        <v>8</v>
      </c>
      <c r="J6" s="897" t="s">
        <v>9</v>
      </c>
      <c r="K6" s="897" t="s">
        <v>10</v>
      </c>
      <c r="L6" s="898" t="s">
        <v>11</v>
      </c>
      <c r="M6" s="896" t="s">
        <v>8</v>
      </c>
      <c r="N6" s="897" t="s">
        <v>9</v>
      </c>
      <c r="O6" s="897" t="s">
        <v>10</v>
      </c>
      <c r="P6" s="898" t="s">
        <v>11</v>
      </c>
      <c r="Q6" s="896" t="s">
        <v>8</v>
      </c>
      <c r="R6" s="897" t="s">
        <v>9</v>
      </c>
      <c r="S6" s="897" t="s">
        <v>10</v>
      </c>
      <c r="T6" s="898" t="s">
        <v>11</v>
      </c>
      <c r="U6" s="896" t="s">
        <v>8</v>
      </c>
      <c r="V6" s="897" t="s">
        <v>9</v>
      </c>
      <c r="W6" s="897" t="s">
        <v>10</v>
      </c>
      <c r="X6" s="898" t="s">
        <v>11</v>
      </c>
      <c r="Y6" s="899" t="s">
        <v>8</v>
      </c>
      <c r="Z6" s="900" t="s">
        <v>9</v>
      </c>
      <c r="AA6" s="897" t="s">
        <v>10</v>
      </c>
      <c r="AB6" s="901" t="s">
        <v>11</v>
      </c>
    </row>
    <row r="7" spans="2:28" s="71" customFormat="1" ht="48" hidden="1" customHeight="1" thickTop="1" x14ac:dyDescent="0.25">
      <c r="B7" s="1363" t="s">
        <v>42</v>
      </c>
      <c r="C7" s="1365">
        <v>0.25</v>
      </c>
      <c r="D7" s="428" t="s">
        <v>180</v>
      </c>
      <c r="E7" s="892">
        <v>0.15</v>
      </c>
      <c r="F7" s="811">
        <v>0.4</v>
      </c>
      <c r="G7" s="811">
        <v>0.75</v>
      </c>
      <c r="H7" s="893">
        <v>1</v>
      </c>
      <c r="I7" s="894">
        <v>0.24</v>
      </c>
      <c r="J7" s="812">
        <v>0.48799999999999999</v>
      </c>
      <c r="K7" s="812">
        <v>0.77500000000000002</v>
      </c>
      <c r="L7" s="895"/>
      <c r="M7" s="1381">
        <f>+AVERAGE(E7:E12)*$C$7</f>
        <v>4.5833333333333337E-2</v>
      </c>
      <c r="N7" s="1382">
        <f>+AVERAGE(F7:F12)*$C$7</f>
        <v>0.12083333333333333</v>
      </c>
      <c r="O7" s="1313">
        <f>+AVERAGE(G7:G12)*$C$7</f>
        <v>0.18333333333333335</v>
      </c>
      <c r="P7" s="1314">
        <f>+AVERAGE(H7:H12)*$C$7</f>
        <v>0.25</v>
      </c>
      <c r="Q7" s="1310">
        <f>+AVERAGE(I7:I11)</f>
        <v>0.19719999999999999</v>
      </c>
      <c r="R7" s="1313">
        <f>+AVERAGE(J7:J12)</f>
        <v>0.47683333333333339</v>
      </c>
      <c r="S7" s="1313">
        <f>+AVERAGE(K7:K12)</f>
        <v>0.80704999999999993</v>
      </c>
      <c r="T7" s="1314" t="e">
        <f>+AVERAGE(L7:L12)</f>
        <v>#DIV/0!</v>
      </c>
      <c r="U7" s="1310">
        <f>+Q7*$C$7</f>
        <v>4.9299999999999997E-2</v>
      </c>
      <c r="V7" s="1313">
        <f>+R7*$C$7</f>
        <v>0.11920833333333335</v>
      </c>
      <c r="W7" s="1313">
        <f>+S7*$C$7</f>
        <v>0.20176249999999998</v>
      </c>
      <c r="X7" s="1314" t="e">
        <f>+T7*$C$7</f>
        <v>#DIV/0!</v>
      </c>
      <c r="Y7" s="1320">
        <f>+U7/M7</f>
        <v>1.0756363636363635</v>
      </c>
      <c r="Z7" s="1389">
        <f>+V7/N7</f>
        <v>0.98655172413793113</v>
      </c>
      <c r="AA7" s="1317">
        <f>+W7/O7</f>
        <v>1.1005227272727272</v>
      </c>
      <c r="AB7" s="1392" t="e">
        <f>+X7/P7</f>
        <v>#DIV/0!</v>
      </c>
    </row>
    <row r="8" spans="2:28" s="71" customFormat="1" ht="70.5" hidden="1" customHeight="1" x14ac:dyDescent="0.25">
      <c r="B8" s="1361"/>
      <c r="C8" s="1074"/>
      <c r="D8" s="77" t="s">
        <v>181</v>
      </c>
      <c r="E8" s="429">
        <v>0.4</v>
      </c>
      <c r="F8" s="430">
        <v>0.8</v>
      </c>
      <c r="G8" s="430">
        <v>1</v>
      </c>
      <c r="H8" s="431">
        <v>1</v>
      </c>
      <c r="I8" s="458">
        <v>0</v>
      </c>
      <c r="J8" s="423">
        <v>0.53</v>
      </c>
      <c r="K8" s="422">
        <v>1</v>
      </c>
      <c r="L8" s="369"/>
      <c r="M8" s="1324"/>
      <c r="N8" s="1083"/>
      <c r="O8" s="1103"/>
      <c r="P8" s="1315"/>
      <c r="Q8" s="1311"/>
      <c r="R8" s="1103"/>
      <c r="S8" s="1103"/>
      <c r="T8" s="1315"/>
      <c r="U8" s="1311"/>
      <c r="V8" s="1103"/>
      <c r="W8" s="1103"/>
      <c r="X8" s="1315"/>
      <c r="Y8" s="1321"/>
      <c r="Z8" s="1390"/>
      <c r="AA8" s="1111"/>
      <c r="AB8" s="1107"/>
    </row>
    <row r="9" spans="2:28" s="71" customFormat="1" ht="66.75" hidden="1" customHeight="1" x14ac:dyDescent="0.25">
      <c r="B9" s="1361"/>
      <c r="C9" s="1074"/>
      <c r="D9" s="77" t="s">
        <v>45</v>
      </c>
      <c r="E9" s="429">
        <v>0.25</v>
      </c>
      <c r="F9" s="430">
        <v>0.5</v>
      </c>
      <c r="G9" s="430">
        <v>0.75</v>
      </c>
      <c r="H9" s="431">
        <v>1</v>
      </c>
      <c r="I9" s="412">
        <v>0.25</v>
      </c>
      <c r="J9" s="423">
        <v>0.33</v>
      </c>
      <c r="K9" s="423">
        <v>0.58030000000000004</v>
      </c>
      <c r="L9" s="369"/>
      <c r="M9" s="1324"/>
      <c r="N9" s="1083"/>
      <c r="O9" s="1103"/>
      <c r="P9" s="1315"/>
      <c r="Q9" s="1311"/>
      <c r="R9" s="1103"/>
      <c r="S9" s="1103"/>
      <c r="T9" s="1315"/>
      <c r="U9" s="1311"/>
      <c r="V9" s="1103"/>
      <c r="W9" s="1103"/>
      <c r="X9" s="1315"/>
      <c r="Y9" s="1321"/>
      <c r="Z9" s="1390"/>
      <c r="AA9" s="1111"/>
      <c r="AB9" s="1107"/>
    </row>
    <row r="10" spans="2:28" s="71" customFormat="1" ht="48" hidden="1" customHeight="1" x14ac:dyDescent="0.25">
      <c r="B10" s="1361"/>
      <c r="C10" s="1074"/>
      <c r="D10" s="77" t="s">
        <v>46</v>
      </c>
      <c r="E10" s="429">
        <v>0.15</v>
      </c>
      <c r="F10" s="430">
        <v>0.4</v>
      </c>
      <c r="G10" s="430">
        <v>0.75</v>
      </c>
      <c r="H10" s="431">
        <v>1</v>
      </c>
      <c r="I10" s="412">
        <v>0.25</v>
      </c>
      <c r="J10" s="422">
        <v>0.40400000000000003</v>
      </c>
      <c r="K10" s="422">
        <v>0.995</v>
      </c>
      <c r="L10" s="369"/>
      <c r="M10" s="1324"/>
      <c r="N10" s="1083"/>
      <c r="O10" s="1103"/>
      <c r="P10" s="1315"/>
      <c r="Q10" s="1311"/>
      <c r="R10" s="1103"/>
      <c r="S10" s="1103"/>
      <c r="T10" s="1315"/>
      <c r="U10" s="1311"/>
      <c r="V10" s="1103"/>
      <c r="W10" s="1103"/>
      <c r="X10" s="1315"/>
      <c r="Y10" s="1321"/>
      <c r="Z10" s="1390"/>
      <c r="AA10" s="1111"/>
      <c r="AB10" s="1107"/>
    </row>
    <row r="11" spans="2:28" s="71" customFormat="1" ht="51" hidden="1" customHeight="1" x14ac:dyDescent="0.25">
      <c r="B11" s="1361"/>
      <c r="C11" s="1074"/>
      <c r="D11" s="372" t="s">
        <v>182</v>
      </c>
      <c r="E11" s="429">
        <v>0.15</v>
      </c>
      <c r="F11" s="430">
        <v>0.4</v>
      </c>
      <c r="G11" s="430">
        <v>0.75</v>
      </c>
      <c r="H11" s="431">
        <v>1</v>
      </c>
      <c r="I11" s="412">
        <v>0.246</v>
      </c>
      <c r="J11" s="422">
        <v>0.51100000000000001</v>
      </c>
      <c r="K11" s="422">
        <v>0.84299999999999997</v>
      </c>
      <c r="L11" s="369"/>
      <c r="M11" s="1324"/>
      <c r="N11" s="1083"/>
      <c r="O11" s="1103"/>
      <c r="P11" s="1315"/>
      <c r="Q11" s="1311"/>
      <c r="R11" s="1103"/>
      <c r="S11" s="1103"/>
      <c r="T11" s="1315"/>
      <c r="U11" s="1311"/>
      <c r="V11" s="1103"/>
      <c r="W11" s="1103"/>
      <c r="X11" s="1315"/>
      <c r="Y11" s="1321"/>
      <c r="Z11" s="1390"/>
      <c r="AA11" s="1111"/>
      <c r="AB11" s="1107"/>
    </row>
    <row r="12" spans="2:28" s="71" customFormat="1" ht="63.75" hidden="1" customHeight="1" thickBot="1" x14ac:dyDescent="0.3">
      <c r="B12" s="1364"/>
      <c r="C12" s="1075"/>
      <c r="D12" s="373" t="s">
        <v>183</v>
      </c>
      <c r="E12" s="429">
        <v>0</v>
      </c>
      <c r="F12" s="430">
        <v>0.4</v>
      </c>
      <c r="G12" s="430">
        <v>0.4</v>
      </c>
      <c r="H12" s="431">
        <v>1</v>
      </c>
      <c r="I12" s="581">
        <v>0</v>
      </c>
      <c r="J12" s="580">
        <v>0.59799999999999998</v>
      </c>
      <c r="K12" s="580">
        <v>0.64900000000000002</v>
      </c>
      <c r="L12" s="377"/>
      <c r="M12" s="1325"/>
      <c r="N12" s="1337"/>
      <c r="O12" s="1383"/>
      <c r="P12" s="1384"/>
      <c r="Q12" s="1385"/>
      <c r="R12" s="1383"/>
      <c r="S12" s="1383"/>
      <c r="T12" s="1384"/>
      <c r="U12" s="1385"/>
      <c r="V12" s="1383"/>
      <c r="W12" s="1383"/>
      <c r="X12" s="1384"/>
      <c r="Y12" s="1388"/>
      <c r="Z12" s="1391"/>
      <c r="AA12" s="1387"/>
      <c r="AB12" s="1393"/>
    </row>
    <row r="13" spans="2:28" s="71" customFormat="1" ht="66.75" hidden="1" customHeight="1" x14ac:dyDescent="0.25">
      <c r="B13" s="1360" t="s">
        <v>50</v>
      </c>
      <c r="C13" s="1079">
        <v>0.25</v>
      </c>
      <c r="D13" s="76" t="s">
        <v>184</v>
      </c>
      <c r="E13" s="435">
        <v>0.25</v>
      </c>
      <c r="F13" s="436">
        <v>0.5</v>
      </c>
      <c r="G13" s="436">
        <v>0.75</v>
      </c>
      <c r="H13" s="437">
        <v>1</v>
      </c>
      <c r="I13" s="456">
        <v>0.25</v>
      </c>
      <c r="J13" s="627">
        <v>0.5</v>
      </c>
      <c r="K13" s="627">
        <v>0.75</v>
      </c>
      <c r="L13" s="376"/>
      <c r="M13" s="1323">
        <f>+AVERAGE(E13:E31)*$C$13</f>
        <v>5.48076923076923E-2</v>
      </c>
      <c r="N13" s="1332">
        <f>+AVERAGE(F13:F31)*$C$13</f>
        <v>0.12307692307692308</v>
      </c>
      <c r="O13" s="1394">
        <f>+AVERAGE(G13:G31)*$C$13</f>
        <v>0.1875</v>
      </c>
      <c r="P13" s="1395">
        <f>+AVERAGE(H13:H31)*$C$13</f>
        <v>0.25</v>
      </c>
      <c r="Q13" s="1396">
        <f>+AVERAGE(I13:I14)</f>
        <v>0.20750000000000002</v>
      </c>
      <c r="R13" s="1394">
        <f>+AVERAGE(J13:J14)</f>
        <v>0.47220000000000001</v>
      </c>
      <c r="S13" s="1394">
        <f>+AVERAGE(K13:K14)</f>
        <v>0.78600000000000003</v>
      </c>
      <c r="T13" s="1395" t="e">
        <f>+AVERAGE(L13:L14)</f>
        <v>#DIV/0!</v>
      </c>
      <c r="U13" s="1396">
        <f>+Q13*$C$13</f>
        <v>5.1875000000000004E-2</v>
      </c>
      <c r="V13" s="1394">
        <f>+R13*$C$13</f>
        <v>0.11805</v>
      </c>
      <c r="W13" s="1394">
        <f>+S13*$C$13</f>
        <v>0.19650000000000001</v>
      </c>
      <c r="X13" s="1395" t="e">
        <f>+T13*$C$13</f>
        <v>#DIV/0!</v>
      </c>
      <c r="Y13" s="1397">
        <f>+U13/M13</f>
        <v>0.94649122807017561</v>
      </c>
      <c r="Z13" s="1398">
        <f>+V13/N13</f>
        <v>0.95915624999999993</v>
      </c>
      <c r="AA13" s="1386">
        <f>+W13/O13</f>
        <v>1.048</v>
      </c>
      <c r="AB13" s="1392" t="e">
        <f>+X13/P13</f>
        <v>#DIV/0!</v>
      </c>
    </row>
    <row r="14" spans="2:28" s="71" customFormat="1" ht="68.25" hidden="1" customHeight="1" thickBot="1" x14ac:dyDescent="0.3">
      <c r="B14" s="1364"/>
      <c r="C14" s="1075"/>
      <c r="D14" s="78" t="s">
        <v>53</v>
      </c>
      <c r="E14" s="432">
        <v>0.15</v>
      </c>
      <c r="F14" s="433">
        <v>0.4</v>
      </c>
      <c r="G14" s="433">
        <v>0.75</v>
      </c>
      <c r="H14" s="434">
        <v>1</v>
      </c>
      <c r="I14" s="576">
        <v>0.16500000000000001</v>
      </c>
      <c r="J14" s="625">
        <v>0.44440000000000002</v>
      </c>
      <c r="K14" s="625">
        <v>0.82199999999999995</v>
      </c>
      <c r="L14" s="577"/>
      <c r="M14" s="1325"/>
      <c r="N14" s="1337"/>
      <c r="O14" s="1383"/>
      <c r="P14" s="1384"/>
      <c r="Q14" s="1385"/>
      <c r="R14" s="1383"/>
      <c r="S14" s="1383"/>
      <c r="T14" s="1384"/>
      <c r="U14" s="1385"/>
      <c r="V14" s="1383"/>
      <c r="W14" s="1383"/>
      <c r="X14" s="1384"/>
      <c r="Y14" s="1388"/>
      <c r="Z14" s="1391"/>
      <c r="AA14" s="1387"/>
      <c r="AB14" s="1393"/>
    </row>
    <row r="15" spans="2:28" s="71" customFormat="1" ht="57" customHeight="1" x14ac:dyDescent="0.25">
      <c r="B15" s="1360" t="s">
        <v>54</v>
      </c>
      <c r="C15" s="1079">
        <v>0.25</v>
      </c>
      <c r="D15" s="374" t="s">
        <v>55</v>
      </c>
      <c r="E15" s="438">
        <v>0.25</v>
      </c>
      <c r="F15" s="439">
        <v>0.5</v>
      </c>
      <c r="G15" s="439">
        <v>0.75</v>
      </c>
      <c r="H15" s="440">
        <v>1</v>
      </c>
      <c r="I15" s="456">
        <v>0.25</v>
      </c>
      <c r="J15" s="627">
        <v>0.5</v>
      </c>
      <c r="K15" s="627">
        <v>0.75</v>
      </c>
      <c r="L15" s="376"/>
      <c r="M15" s="1323">
        <f>+AVERAGE(E15:E33)*$C$15</f>
        <v>5.5681818181818173E-2</v>
      </c>
      <c r="N15" s="1332">
        <f>+AVERAGE(F15:F33)*$C$15</f>
        <v>0.125</v>
      </c>
      <c r="O15" s="1394">
        <f>+AVERAGE(G15:G33)*$C$15</f>
        <v>0.1875</v>
      </c>
      <c r="P15" s="1395">
        <f>+AVERAGE(H15:H33)*$C$15</f>
        <v>0.25</v>
      </c>
      <c r="Q15" s="1396">
        <f>+AVERAGE(I15:I19)</f>
        <v>0.25259999999999999</v>
      </c>
      <c r="R15" s="1394">
        <f>+AVERAGE(J15:J19)</f>
        <v>0.50519999999999998</v>
      </c>
      <c r="S15" s="1394">
        <f>+AVERAGE(K15:K19)</f>
        <v>0.75780000000000003</v>
      </c>
      <c r="T15" s="1395" t="e">
        <f>+AVERAGE(L15:L19)</f>
        <v>#DIV/0!</v>
      </c>
      <c r="U15" s="1396">
        <f>+Q15*$C$15</f>
        <v>6.3149999999999998E-2</v>
      </c>
      <c r="V15" s="1394">
        <f>+R15*$C$15</f>
        <v>0.1263</v>
      </c>
      <c r="W15" s="1394">
        <f>+S15*$C$15</f>
        <v>0.18945000000000001</v>
      </c>
      <c r="X15" s="1395" t="e">
        <f>+T15*$C$15</f>
        <v>#DIV/0!</v>
      </c>
      <c r="Y15" s="1397">
        <f>+U15/M15</f>
        <v>1.134122448979592</v>
      </c>
      <c r="Z15" s="1398">
        <f>+V15/N15</f>
        <v>1.0104</v>
      </c>
      <c r="AA15" s="1386">
        <f>+W15/O15</f>
        <v>1.0104</v>
      </c>
      <c r="AB15" s="1392" t="e">
        <f>+X15/P15</f>
        <v>#DIV/0!</v>
      </c>
    </row>
    <row r="16" spans="2:28" s="71" customFormat="1" ht="48" customHeight="1" x14ac:dyDescent="0.25">
      <c r="B16" s="1361"/>
      <c r="C16" s="1074"/>
      <c r="D16" s="375" t="s">
        <v>56</v>
      </c>
      <c r="E16" s="441">
        <v>0.25</v>
      </c>
      <c r="F16" s="442">
        <v>0.5</v>
      </c>
      <c r="G16" s="442">
        <v>0.75</v>
      </c>
      <c r="H16" s="443">
        <v>1</v>
      </c>
      <c r="I16" s="412">
        <v>0.25</v>
      </c>
      <c r="J16" s="422">
        <v>0.5</v>
      </c>
      <c r="K16" s="422">
        <v>0.75</v>
      </c>
      <c r="L16" s="369"/>
      <c r="M16" s="1324"/>
      <c r="N16" s="1083"/>
      <c r="O16" s="1103"/>
      <c r="P16" s="1315"/>
      <c r="Q16" s="1311"/>
      <c r="R16" s="1103"/>
      <c r="S16" s="1103"/>
      <c r="T16" s="1315"/>
      <c r="U16" s="1311"/>
      <c r="V16" s="1103"/>
      <c r="W16" s="1103"/>
      <c r="X16" s="1315"/>
      <c r="Y16" s="1321"/>
      <c r="Z16" s="1390"/>
      <c r="AA16" s="1111"/>
      <c r="AB16" s="1107"/>
    </row>
    <row r="17" spans="2:28" s="71" customFormat="1" ht="57.75" customHeight="1" x14ac:dyDescent="0.25">
      <c r="B17" s="1361"/>
      <c r="C17" s="1074"/>
      <c r="D17" s="372" t="s">
        <v>185</v>
      </c>
      <c r="E17" s="444">
        <v>0.25</v>
      </c>
      <c r="F17" s="445">
        <v>0.5</v>
      </c>
      <c r="G17" s="445">
        <v>0.75</v>
      </c>
      <c r="H17" s="446">
        <v>1</v>
      </c>
      <c r="I17" s="412">
        <v>0.25</v>
      </c>
      <c r="J17" s="422">
        <v>0.5</v>
      </c>
      <c r="K17" s="422">
        <v>0.75</v>
      </c>
      <c r="L17" s="369"/>
      <c r="M17" s="1324"/>
      <c r="N17" s="1083"/>
      <c r="O17" s="1103"/>
      <c r="P17" s="1315"/>
      <c r="Q17" s="1311"/>
      <c r="R17" s="1103"/>
      <c r="S17" s="1103"/>
      <c r="T17" s="1315"/>
      <c r="U17" s="1311"/>
      <c r="V17" s="1103"/>
      <c r="W17" s="1103"/>
      <c r="X17" s="1315"/>
      <c r="Y17" s="1321"/>
      <c r="Z17" s="1390"/>
      <c r="AA17" s="1111"/>
      <c r="AB17" s="1107"/>
    </row>
    <row r="18" spans="2:28" s="71" customFormat="1" ht="67.5" customHeight="1" x14ac:dyDescent="0.25">
      <c r="B18" s="1361"/>
      <c r="C18" s="1074"/>
      <c r="D18" s="372" t="s">
        <v>186</v>
      </c>
      <c r="E18" s="444">
        <v>0.25</v>
      </c>
      <c r="F18" s="445">
        <v>0.5</v>
      </c>
      <c r="G18" s="445">
        <v>0.75</v>
      </c>
      <c r="H18" s="446">
        <v>1</v>
      </c>
      <c r="I18" s="412">
        <v>0.25</v>
      </c>
      <c r="J18" s="422">
        <v>0.5</v>
      </c>
      <c r="K18" s="422">
        <v>0.75</v>
      </c>
      <c r="L18" s="369"/>
      <c r="M18" s="1324"/>
      <c r="N18" s="1083"/>
      <c r="O18" s="1103"/>
      <c r="P18" s="1315"/>
      <c r="Q18" s="1311"/>
      <c r="R18" s="1103"/>
      <c r="S18" s="1103"/>
      <c r="T18" s="1315"/>
      <c r="U18" s="1311"/>
      <c r="V18" s="1103"/>
      <c r="W18" s="1103"/>
      <c r="X18" s="1315"/>
      <c r="Y18" s="1321"/>
      <c r="Z18" s="1390"/>
      <c r="AA18" s="1111"/>
      <c r="AB18" s="1107"/>
    </row>
    <row r="19" spans="2:28" s="71" customFormat="1" ht="48" customHeight="1" thickBot="1" x14ac:dyDescent="0.3">
      <c r="B19" s="1364"/>
      <c r="C19" s="1075"/>
      <c r="D19" s="78" t="s">
        <v>57</v>
      </c>
      <c r="E19" s="447">
        <v>0.25</v>
      </c>
      <c r="F19" s="448">
        <v>0.5</v>
      </c>
      <c r="G19" s="448">
        <v>0.75</v>
      </c>
      <c r="H19" s="449">
        <v>1</v>
      </c>
      <c r="I19" s="459">
        <v>0.26300000000000001</v>
      </c>
      <c r="J19" s="580">
        <v>0.52600000000000002</v>
      </c>
      <c r="K19" s="580">
        <v>0.78900000000000003</v>
      </c>
      <c r="L19" s="377"/>
      <c r="M19" s="1325"/>
      <c r="N19" s="1337"/>
      <c r="O19" s="1383"/>
      <c r="P19" s="1384"/>
      <c r="Q19" s="1385"/>
      <c r="R19" s="1383"/>
      <c r="S19" s="1383"/>
      <c r="T19" s="1384"/>
      <c r="U19" s="1385"/>
      <c r="V19" s="1383"/>
      <c r="W19" s="1383"/>
      <c r="X19" s="1384"/>
      <c r="Y19" s="1388"/>
      <c r="Z19" s="1391"/>
      <c r="AA19" s="1387"/>
      <c r="AB19" s="1393"/>
    </row>
    <row r="20" spans="2:28" s="71" customFormat="1" ht="61.5" customHeight="1" x14ac:dyDescent="0.25">
      <c r="B20" s="1360" t="s">
        <v>58</v>
      </c>
      <c r="C20" s="1079">
        <v>0.25</v>
      </c>
      <c r="D20" s="76" t="s">
        <v>59</v>
      </c>
      <c r="E20" s="450">
        <v>0.25</v>
      </c>
      <c r="F20" s="451">
        <v>0.5</v>
      </c>
      <c r="G20" s="451">
        <v>0.75</v>
      </c>
      <c r="H20" s="452">
        <v>1</v>
      </c>
      <c r="I20" s="578">
        <v>0.25</v>
      </c>
      <c r="J20" s="584">
        <v>0.5</v>
      </c>
      <c r="K20" s="584">
        <v>0.75</v>
      </c>
      <c r="L20" s="579"/>
      <c r="M20" s="1323">
        <f>+AVERAGE(E20:E38)*$C$20</f>
        <v>4.9999999999999996E-2</v>
      </c>
      <c r="N20" s="1332">
        <f>+AVERAGE(F20:F38)*$C$20</f>
        <v>0.125</v>
      </c>
      <c r="O20" s="1394">
        <f>+AVERAGE(G20:G38)*$C$20</f>
        <v>0.1875</v>
      </c>
      <c r="P20" s="1395">
        <f>+AVERAGE(H20:H38)*$C$20</f>
        <v>0.25</v>
      </c>
      <c r="Q20" s="1396">
        <f>+AVERAGE(I20:I25)</f>
        <v>0.19999999999999998</v>
      </c>
      <c r="R20" s="1394">
        <f>+AVERAGE(J20:J25)</f>
        <v>0.5</v>
      </c>
      <c r="S20" s="1394">
        <f>+AVERAGE(K20:K25)</f>
        <v>0.75</v>
      </c>
      <c r="T20" s="1395" t="e">
        <f>+AVERAGE(L20:L25)</f>
        <v>#DIV/0!</v>
      </c>
      <c r="U20" s="1396">
        <f t="shared" ref="U20:AB20" si="0">+Q20*$C$20</f>
        <v>4.9999999999999996E-2</v>
      </c>
      <c r="V20" s="1394">
        <f t="shared" si="0"/>
        <v>0.125</v>
      </c>
      <c r="W20" s="1394">
        <f t="shared" si="0"/>
        <v>0.1875</v>
      </c>
      <c r="X20" s="1395" t="e">
        <f t="shared" si="0"/>
        <v>#DIV/0!</v>
      </c>
      <c r="Y20" s="1407">
        <f t="shared" si="0"/>
        <v>1.2499999999999999E-2</v>
      </c>
      <c r="Z20" s="1410">
        <f t="shared" si="0"/>
        <v>3.125E-2</v>
      </c>
      <c r="AA20" s="1399">
        <f t="shared" si="0"/>
        <v>4.6875E-2</v>
      </c>
      <c r="AB20" s="1402" t="e">
        <f t="shared" si="0"/>
        <v>#DIV/0!</v>
      </c>
    </row>
    <row r="21" spans="2:28" s="71" customFormat="1" ht="48" customHeight="1" x14ac:dyDescent="0.25">
      <c r="B21" s="1361"/>
      <c r="C21" s="1074"/>
      <c r="D21" s="77" t="s">
        <v>60</v>
      </c>
      <c r="E21" s="444">
        <v>0.25</v>
      </c>
      <c r="F21" s="445">
        <v>0.5</v>
      </c>
      <c r="G21" s="445">
        <v>0.75</v>
      </c>
      <c r="H21" s="446">
        <v>1</v>
      </c>
      <c r="I21" s="412">
        <v>0.25</v>
      </c>
      <c r="J21" s="422">
        <v>0.5</v>
      </c>
      <c r="K21" s="422">
        <v>0.75</v>
      </c>
      <c r="L21" s="369"/>
      <c r="M21" s="1324"/>
      <c r="N21" s="1083"/>
      <c r="O21" s="1103"/>
      <c r="P21" s="1315"/>
      <c r="Q21" s="1311"/>
      <c r="R21" s="1103"/>
      <c r="S21" s="1103"/>
      <c r="T21" s="1315"/>
      <c r="U21" s="1311"/>
      <c r="V21" s="1103"/>
      <c r="W21" s="1103"/>
      <c r="X21" s="1315"/>
      <c r="Y21" s="1408"/>
      <c r="Z21" s="1411"/>
      <c r="AA21" s="1400"/>
      <c r="AB21" s="1403"/>
    </row>
    <row r="22" spans="2:28" s="71" customFormat="1" ht="48" customHeight="1" x14ac:dyDescent="0.25">
      <c r="B22" s="1361"/>
      <c r="C22" s="1074"/>
      <c r="D22" s="77" t="s">
        <v>61</v>
      </c>
      <c r="E22" s="444">
        <v>0.25</v>
      </c>
      <c r="F22" s="445">
        <v>0.5</v>
      </c>
      <c r="G22" s="445">
        <v>0.75</v>
      </c>
      <c r="H22" s="446">
        <v>1</v>
      </c>
      <c r="I22" s="412">
        <v>0.25</v>
      </c>
      <c r="J22" s="422">
        <v>0.5</v>
      </c>
      <c r="K22" s="422">
        <v>0.75</v>
      </c>
      <c r="L22" s="369"/>
      <c r="M22" s="1324"/>
      <c r="N22" s="1083"/>
      <c r="O22" s="1103"/>
      <c r="P22" s="1315"/>
      <c r="Q22" s="1311"/>
      <c r="R22" s="1103"/>
      <c r="S22" s="1103"/>
      <c r="T22" s="1315"/>
      <c r="U22" s="1311"/>
      <c r="V22" s="1103"/>
      <c r="W22" s="1103"/>
      <c r="X22" s="1315"/>
      <c r="Y22" s="1408"/>
      <c r="Z22" s="1411"/>
      <c r="AA22" s="1400"/>
      <c r="AB22" s="1403"/>
    </row>
    <row r="23" spans="2:28" s="71" customFormat="1" ht="48" customHeight="1" x14ac:dyDescent="0.25">
      <c r="B23" s="1361"/>
      <c r="C23" s="1074"/>
      <c r="D23" s="77" t="s">
        <v>187</v>
      </c>
      <c r="E23" s="429">
        <v>0.15</v>
      </c>
      <c r="F23" s="430">
        <v>0.5</v>
      </c>
      <c r="G23" s="430">
        <v>0.75</v>
      </c>
      <c r="H23" s="431">
        <v>1</v>
      </c>
      <c r="I23" s="412">
        <v>0.15</v>
      </c>
      <c r="J23" s="422">
        <v>0.5</v>
      </c>
      <c r="K23" s="422">
        <v>0.75</v>
      </c>
      <c r="L23" s="369"/>
      <c r="M23" s="1324"/>
      <c r="N23" s="1083"/>
      <c r="O23" s="1103"/>
      <c r="P23" s="1315"/>
      <c r="Q23" s="1311"/>
      <c r="R23" s="1103"/>
      <c r="S23" s="1103"/>
      <c r="T23" s="1315"/>
      <c r="U23" s="1311"/>
      <c r="V23" s="1103"/>
      <c r="W23" s="1103"/>
      <c r="X23" s="1315"/>
      <c r="Y23" s="1408"/>
      <c r="Z23" s="1411"/>
      <c r="AA23" s="1400"/>
      <c r="AB23" s="1403"/>
    </row>
    <row r="24" spans="2:28" s="71" customFormat="1" ht="48" customHeight="1" x14ac:dyDescent="0.25">
      <c r="B24" s="1361"/>
      <c r="C24" s="1074"/>
      <c r="D24" s="77" t="s">
        <v>188</v>
      </c>
      <c r="E24" s="429">
        <v>0.15</v>
      </c>
      <c r="F24" s="430">
        <v>0.5</v>
      </c>
      <c r="G24" s="430">
        <v>0.75</v>
      </c>
      <c r="H24" s="431">
        <v>1</v>
      </c>
      <c r="I24" s="412">
        <v>0.15</v>
      </c>
      <c r="J24" s="422">
        <v>0.5</v>
      </c>
      <c r="K24" s="422">
        <v>0.75</v>
      </c>
      <c r="L24" s="369"/>
      <c r="M24" s="1324"/>
      <c r="N24" s="1083"/>
      <c r="O24" s="1103"/>
      <c r="P24" s="1315"/>
      <c r="Q24" s="1311"/>
      <c r="R24" s="1103"/>
      <c r="S24" s="1103"/>
      <c r="T24" s="1315"/>
      <c r="U24" s="1311"/>
      <c r="V24" s="1103"/>
      <c r="W24" s="1103"/>
      <c r="X24" s="1315"/>
      <c r="Y24" s="1408"/>
      <c r="Z24" s="1411"/>
      <c r="AA24" s="1400"/>
      <c r="AB24" s="1403"/>
    </row>
    <row r="25" spans="2:28" s="71" customFormat="1" ht="48" customHeight="1" thickBot="1" x14ac:dyDescent="0.3">
      <c r="B25" s="1362"/>
      <c r="C25" s="1090"/>
      <c r="D25" s="407" t="s">
        <v>189</v>
      </c>
      <c r="E25" s="453">
        <v>0.15</v>
      </c>
      <c r="F25" s="454">
        <v>0.5</v>
      </c>
      <c r="G25" s="454">
        <v>0.75</v>
      </c>
      <c r="H25" s="455">
        <v>1</v>
      </c>
      <c r="I25" s="457">
        <v>0.15</v>
      </c>
      <c r="J25" s="626">
        <v>0.5</v>
      </c>
      <c r="K25" s="626">
        <v>0.75</v>
      </c>
      <c r="L25" s="427"/>
      <c r="M25" s="1405"/>
      <c r="N25" s="1406"/>
      <c r="O25" s="1104"/>
      <c r="P25" s="1316"/>
      <c r="Q25" s="1312"/>
      <c r="R25" s="1104"/>
      <c r="S25" s="1104"/>
      <c r="T25" s="1316"/>
      <c r="U25" s="1312"/>
      <c r="V25" s="1104"/>
      <c r="W25" s="1104"/>
      <c r="X25" s="1316"/>
      <c r="Y25" s="1409"/>
      <c r="Z25" s="1412"/>
      <c r="AA25" s="1401"/>
      <c r="AB25" s="1404"/>
    </row>
    <row r="26" spans="2:28" s="600" customFormat="1" ht="23.25" customHeight="1" thickTop="1" thickBot="1" x14ac:dyDescent="0.3">
      <c r="B26" s="643" t="s">
        <v>12</v>
      </c>
      <c r="C26" s="644">
        <f>SUM(C7:C25)</f>
        <v>1</v>
      </c>
      <c r="D26" s="645"/>
      <c r="E26" s="646"/>
      <c r="F26" s="647"/>
      <c r="G26" s="647"/>
      <c r="H26" s="648"/>
      <c r="I26" s="646"/>
      <c r="J26" s="647"/>
      <c r="K26" s="647"/>
      <c r="L26" s="648"/>
      <c r="M26" s="646">
        <f>SUM(M7:M25)</f>
        <v>0.2063228438228438</v>
      </c>
      <c r="N26" s="647">
        <f>SUM(N7:N25)</f>
        <v>0.49391025641025643</v>
      </c>
      <c r="O26" s="647">
        <f>SUM(O7:O25)</f>
        <v>0.74583333333333335</v>
      </c>
      <c r="P26" s="648">
        <f>SUM(P7:P25)</f>
        <v>1</v>
      </c>
      <c r="Q26" s="646"/>
      <c r="R26" s="647"/>
      <c r="S26" s="647"/>
      <c r="T26" s="648"/>
      <c r="U26" s="646">
        <f>SUM(U7:U25)</f>
        <v>0.21432499999999999</v>
      </c>
      <c r="V26" s="647">
        <f>SUM(V7:V25)</f>
        <v>0.48855833333333332</v>
      </c>
      <c r="W26" s="647">
        <f>SUM(W7:W25)</f>
        <v>0.77521249999999997</v>
      </c>
      <c r="X26" s="648" t="e">
        <f>SUM(X7:X25)</f>
        <v>#DIV/0!</v>
      </c>
      <c r="Y26" s="659">
        <f>+U26/M26</f>
        <v>1.0387846349385681</v>
      </c>
      <c r="Z26" s="676">
        <f>+V26/N26</f>
        <v>0.98916417910447751</v>
      </c>
      <c r="AA26" s="653">
        <f>+W26/O26</f>
        <v>1.0393910614525139</v>
      </c>
      <c r="AB26" s="891" t="e">
        <f>+X26/P26</f>
        <v>#DIV/0!</v>
      </c>
    </row>
    <row r="27" spans="2:28" ht="15.75" thickTop="1" x14ac:dyDescent="0.25">
      <c r="J27" s="386"/>
    </row>
    <row r="28" spans="2:28" x14ac:dyDescent="0.25">
      <c r="E28" s="402"/>
      <c r="F28" s="71"/>
      <c r="G28" s="71"/>
      <c r="H28" s="71"/>
      <c r="J28" s="460">
        <f>5/19</f>
        <v>0.26315789473684209</v>
      </c>
      <c r="K28" s="399">
        <f>6/19</f>
        <v>0.31578947368421051</v>
      </c>
    </row>
    <row r="29" spans="2:28" x14ac:dyDescent="0.25">
      <c r="E29" s="402"/>
      <c r="F29" s="71"/>
      <c r="G29" s="71"/>
      <c r="H29" s="71"/>
      <c r="J29" s="461">
        <f>12/19</f>
        <v>0.63157894736842102</v>
      </c>
      <c r="K29" s="395">
        <f>12/19</f>
        <v>0.63157894736842102</v>
      </c>
    </row>
    <row r="30" spans="2:28" x14ac:dyDescent="0.25">
      <c r="E30" s="402"/>
      <c r="F30" s="71"/>
      <c r="G30" s="71"/>
      <c r="H30" s="71"/>
      <c r="J30" s="462">
        <f>2/19</f>
        <v>0.10526315789473684</v>
      </c>
      <c r="K30" s="551">
        <f>1/19</f>
        <v>5.2631578947368418E-2</v>
      </c>
    </row>
    <row r="31" spans="2:28" x14ac:dyDescent="0.25">
      <c r="J31" s="463">
        <f>SUM(J28:J30)</f>
        <v>0.99999999999999989</v>
      </c>
      <c r="K31" s="231">
        <f>SUM(K28:K30)</f>
        <v>1</v>
      </c>
    </row>
  </sheetData>
  <mergeCells count="82">
    <mergeCell ref="AB20:AB25"/>
    <mergeCell ref="AB15:AB19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V20:V25"/>
    <mergeCell ref="W20:W25"/>
    <mergeCell ref="X20:X25"/>
    <mergeCell ref="Y20:Y25"/>
    <mergeCell ref="Z20:Z25"/>
    <mergeCell ref="AA20:AA25"/>
    <mergeCell ref="AB13:AB14"/>
    <mergeCell ref="M15:M19"/>
    <mergeCell ref="N15:N19"/>
    <mergeCell ref="O15:O19"/>
    <mergeCell ref="P15:P19"/>
    <mergeCell ref="Q15:Q19"/>
    <mergeCell ref="R15:R19"/>
    <mergeCell ref="S15:S19"/>
    <mergeCell ref="T15:T19"/>
    <mergeCell ref="U15:U19"/>
    <mergeCell ref="V15:V19"/>
    <mergeCell ref="W15:W19"/>
    <mergeCell ref="X15:X19"/>
    <mergeCell ref="Y15:Y19"/>
    <mergeCell ref="Z15:Z19"/>
    <mergeCell ref="AA15:AA19"/>
    <mergeCell ref="AB7:AB12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W7:W12"/>
    <mergeCell ref="X7:X12"/>
    <mergeCell ref="Y7:Y12"/>
    <mergeCell ref="Z7:Z12"/>
    <mergeCell ref="AA7:AA12"/>
    <mergeCell ref="R7:R12"/>
    <mergeCell ref="S7:S12"/>
    <mergeCell ref="T7:T12"/>
    <mergeCell ref="U7:U12"/>
    <mergeCell ref="V7:V12"/>
    <mergeCell ref="M7:M12"/>
    <mergeCell ref="N7:N12"/>
    <mergeCell ref="O7:O12"/>
    <mergeCell ref="P7:P12"/>
    <mergeCell ref="Q7:Q12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B20:B25"/>
    <mergeCell ref="C20:C25"/>
    <mergeCell ref="B7:B12"/>
    <mergeCell ref="C7:C12"/>
    <mergeCell ref="B13:B14"/>
    <mergeCell ref="C13:C14"/>
    <mergeCell ref="B15:B19"/>
    <mergeCell ref="C15:C1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B35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5.28515625" customWidth="1"/>
    <col min="4" max="4" width="36" customWidth="1"/>
    <col min="7" max="8" width="0" hidden="1" customWidth="1"/>
    <col min="9" max="9" width="11.42578125" customWidth="1"/>
    <col min="11" max="12" width="0" hidden="1" customWidth="1"/>
    <col min="15" max="16" width="0" hidden="1" customWidth="1"/>
    <col min="19" max="20" width="0" hidden="1" customWidth="1"/>
    <col min="23" max="24" width="0" hidden="1" customWidth="1"/>
    <col min="27" max="28" width="0" hidden="1" customWidth="1"/>
  </cols>
  <sheetData>
    <row r="3" spans="2:28" ht="28.5" x14ac:dyDescent="0.45">
      <c r="B3" s="1423" t="s">
        <v>63</v>
      </c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1423"/>
      <c r="AB3" s="1423"/>
    </row>
    <row r="4" spans="2:28" ht="6" customHeight="1" x14ac:dyDescent="0.25"/>
    <row r="5" spans="2:28" ht="49.5" customHeight="1" x14ac:dyDescent="0.25">
      <c r="B5" s="1424" t="s">
        <v>0</v>
      </c>
      <c r="C5" s="1425" t="s">
        <v>1</v>
      </c>
      <c r="D5" s="1424" t="s">
        <v>2</v>
      </c>
      <c r="E5" s="1426" t="s">
        <v>3</v>
      </c>
      <c r="F5" s="1427"/>
      <c r="G5" s="1427"/>
      <c r="H5" s="1427"/>
      <c r="I5" s="1426" t="s">
        <v>4</v>
      </c>
      <c r="J5" s="1427"/>
      <c r="K5" s="1427"/>
      <c r="L5" s="1427"/>
      <c r="M5" s="1426" t="s">
        <v>16</v>
      </c>
      <c r="N5" s="1426"/>
      <c r="O5" s="1426"/>
      <c r="P5" s="1426"/>
      <c r="Q5" s="1426" t="s">
        <v>5</v>
      </c>
      <c r="R5" s="1426"/>
      <c r="S5" s="1426"/>
      <c r="T5" s="1426"/>
      <c r="U5" s="1426" t="s">
        <v>6</v>
      </c>
      <c r="V5" s="1426"/>
      <c r="W5" s="1426"/>
      <c r="X5" s="1426"/>
      <c r="Y5" s="1426" t="s">
        <v>7</v>
      </c>
      <c r="Z5" s="1426"/>
      <c r="AA5" s="1426"/>
      <c r="AB5" s="1426"/>
    </row>
    <row r="6" spans="2:28" ht="16.5" customHeight="1" thickBot="1" x14ac:dyDescent="0.3">
      <c r="B6" s="1424"/>
      <c r="C6" s="1425"/>
      <c r="D6" s="1424"/>
      <c r="E6" s="272" t="s">
        <v>8</v>
      </c>
      <c r="F6" s="272" t="s">
        <v>9</v>
      </c>
      <c r="G6" s="272" t="s">
        <v>10</v>
      </c>
      <c r="H6" s="272" t="s">
        <v>11</v>
      </c>
      <c r="I6" s="272" t="s">
        <v>8</v>
      </c>
      <c r="J6" s="272" t="s">
        <v>9</v>
      </c>
      <c r="K6" s="272" t="s">
        <v>10</v>
      </c>
      <c r="L6" s="272" t="s">
        <v>11</v>
      </c>
      <c r="M6" s="272" t="s">
        <v>8</v>
      </c>
      <c r="N6" s="272" t="s">
        <v>9</v>
      </c>
      <c r="O6" s="272" t="s">
        <v>10</v>
      </c>
      <c r="P6" s="272" t="s">
        <v>11</v>
      </c>
      <c r="Q6" s="275" t="s">
        <v>8</v>
      </c>
      <c r="R6" s="275" t="s">
        <v>9</v>
      </c>
      <c r="S6" s="272" t="s">
        <v>10</v>
      </c>
      <c r="T6" s="272" t="s">
        <v>11</v>
      </c>
      <c r="U6" s="272" t="s">
        <v>8</v>
      </c>
      <c r="V6" s="272" t="s">
        <v>9</v>
      </c>
      <c r="W6" s="272" t="s">
        <v>10</v>
      </c>
      <c r="X6" s="272" t="s">
        <v>11</v>
      </c>
      <c r="Y6" s="275" t="s">
        <v>8</v>
      </c>
      <c r="Z6" s="275" t="s">
        <v>9</v>
      </c>
      <c r="AA6" s="272" t="s">
        <v>10</v>
      </c>
      <c r="AB6" s="272" t="s">
        <v>11</v>
      </c>
    </row>
    <row r="7" spans="2:28" s="71" customFormat="1" ht="75" customHeight="1" x14ac:dyDescent="0.25">
      <c r="B7" s="1418" t="s">
        <v>64</v>
      </c>
      <c r="C7" s="1421">
        <v>0.3</v>
      </c>
      <c r="D7" s="271" t="s">
        <v>65</v>
      </c>
      <c r="E7" s="163">
        <v>0.4</v>
      </c>
      <c r="F7" s="164">
        <f>60%+E7</f>
        <v>1</v>
      </c>
      <c r="G7" s="164"/>
      <c r="H7" s="165"/>
      <c r="I7" s="256">
        <v>0.4</v>
      </c>
      <c r="J7" s="164">
        <v>1</v>
      </c>
      <c r="K7" s="164"/>
      <c r="L7" s="165"/>
      <c r="M7" s="1044">
        <f>+AVERAGE(E7:E12)*$C$7</f>
        <v>8.249999999999999E-2</v>
      </c>
      <c r="N7" s="1336">
        <f>+AVERAGE(F7:F12)*$C$7</f>
        <v>0.17500000000000002</v>
      </c>
      <c r="O7" s="1045">
        <f>+AVERAGE(G7:G12)*$C$7</f>
        <v>0.22499999999999998</v>
      </c>
      <c r="P7" s="1051">
        <f>+AVERAGE(H7:H12)*$C$7</f>
        <v>0.3</v>
      </c>
      <c r="Q7" s="1012">
        <f>+AVERAGE(I7:I12)</f>
        <v>0.27299999999999996</v>
      </c>
      <c r="R7" s="1018">
        <f>+AVERAGE(J7:J12)</f>
        <v>0.58333333333333337</v>
      </c>
      <c r="S7" s="1050" t="e">
        <f>+AVERAGE(K7:K12)</f>
        <v>#DIV/0!</v>
      </c>
      <c r="T7" s="1049" t="e">
        <f>+AVERAGE(L7:L12)</f>
        <v>#DIV/0!</v>
      </c>
      <c r="U7" s="1050">
        <f>+Q7*$C$7</f>
        <v>8.1899999999999987E-2</v>
      </c>
      <c r="V7" s="1336">
        <f>+R7*$C$7</f>
        <v>0.17500000000000002</v>
      </c>
      <c r="W7" s="1045" t="e">
        <f>+S7*$C$7</f>
        <v>#DIV/0!</v>
      </c>
      <c r="X7" s="1049" t="e">
        <f>+T7*$C$7</f>
        <v>#DIV/0!</v>
      </c>
      <c r="Y7" s="1323">
        <f>+U7/M7</f>
        <v>0.99272727272727268</v>
      </c>
      <c r="Z7" s="1018">
        <f>+V7/N7</f>
        <v>1</v>
      </c>
      <c r="AA7" s="1050" t="e">
        <f>+W7/O7</f>
        <v>#DIV/0!</v>
      </c>
      <c r="AB7" s="1049" t="e">
        <f>+X7/P7</f>
        <v>#DIV/0!</v>
      </c>
    </row>
    <row r="8" spans="2:28" s="71" customFormat="1" ht="37.5" customHeight="1" x14ac:dyDescent="0.25">
      <c r="B8" s="1419"/>
      <c r="C8" s="1010"/>
      <c r="D8" s="110" t="s">
        <v>66</v>
      </c>
      <c r="E8" s="148">
        <v>0.25</v>
      </c>
      <c r="F8" s="149">
        <v>0.5</v>
      </c>
      <c r="G8" s="149">
        <v>0.75</v>
      </c>
      <c r="H8" s="150">
        <v>1</v>
      </c>
      <c r="I8" s="252">
        <v>0.25</v>
      </c>
      <c r="J8" s="149">
        <v>0.5</v>
      </c>
      <c r="K8" s="149"/>
      <c r="L8" s="150"/>
      <c r="M8" s="1013"/>
      <c r="N8" s="1083"/>
      <c r="O8" s="1016"/>
      <c r="P8" s="1052"/>
      <c r="Q8" s="1013"/>
      <c r="R8" s="1019"/>
      <c r="S8" s="1022"/>
      <c r="T8" s="1019"/>
      <c r="U8" s="1022"/>
      <c r="V8" s="1083"/>
      <c r="W8" s="1016"/>
      <c r="X8" s="1019"/>
      <c r="Y8" s="1324"/>
      <c r="Z8" s="1019"/>
      <c r="AA8" s="1022"/>
      <c r="AB8" s="1019"/>
    </row>
    <row r="9" spans="2:28" s="71" customFormat="1" ht="30.75" customHeight="1" x14ac:dyDescent="0.25">
      <c r="B9" s="1419"/>
      <c r="C9" s="1010"/>
      <c r="D9" s="110" t="s">
        <v>67</v>
      </c>
      <c r="E9" s="148">
        <v>0.25</v>
      </c>
      <c r="F9" s="149">
        <v>0.5</v>
      </c>
      <c r="G9" s="149">
        <v>0.75</v>
      </c>
      <c r="H9" s="150">
        <v>1</v>
      </c>
      <c r="I9" s="252">
        <v>0.25</v>
      </c>
      <c r="J9" s="149">
        <v>0.5</v>
      </c>
      <c r="K9" s="149"/>
      <c r="L9" s="150"/>
      <c r="M9" s="1013"/>
      <c r="N9" s="1083"/>
      <c r="O9" s="1016"/>
      <c r="P9" s="1052"/>
      <c r="Q9" s="1013"/>
      <c r="R9" s="1019"/>
      <c r="S9" s="1022"/>
      <c r="T9" s="1019"/>
      <c r="U9" s="1022"/>
      <c r="V9" s="1083"/>
      <c r="W9" s="1016"/>
      <c r="X9" s="1019"/>
      <c r="Y9" s="1324"/>
      <c r="Z9" s="1019"/>
      <c r="AA9" s="1022"/>
      <c r="AB9" s="1019"/>
    </row>
    <row r="10" spans="2:28" s="71" customFormat="1" ht="47.25" customHeight="1" x14ac:dyDescent="0.25">
      <c r="B10" s="1419"/>
      <c r="C10" s="1010"/>
      <c r="D10" s="110" t="s">
        <v>68</v>
      </c>
      <c r="E10" s="148">
        <v>0.25</v>
      </c>
      <c r="F10" s="149">
        <v>0.5</v>
      </c>
      <c r="G10" s="149">
        <v>0.75</v>
      </c>
      <c r="H10" s="150">
        <v>1</v>
      </c>
      <c r="I10" s="252">
        <v>0.25</v>
      </c>
      <c r="J10" s="149">
        <v>0.5</v>
      </c>
      <c r="K10" s="149"/>
      <c r="L10" s="150"/>
      <c r="M10" s="1013"/>
      <c r="N10" s="1083"/>
      <c r="O10" s="1016"/>
      <c r="P10" s="1052"/>
      <c r="Q10" s="1013"/>
      <c r="R10" s="1019"/>
      <c r="S10" s="1022"/>
      <c r="T10" s="1019"/>
      <c r="U10" s="1022"/>
      <c r="V10" s="1083"/>
      <c r="W10" s="1016"/>
      <c r="X10" s="1019"/>
      <c r="Y10" s="1324"/>
      <c r="Z10" s="1019"/>
      <c r="AA10" s="1022"/>
      <c r="AB10" s="1019"/>
    </row>
    <row r="11" spans="2:28" s="71" customFormat="1" ht="49.5" customHeight="1" x14ac:dyDescent="0.25">
      <c r="B11" s="1419"/>
      <c r="C11" s="1010"/>
      <c r="D11" s="110" t="s">
        <v>69</v>
      </c>
      <c r="E11" s="148">
        <v>0.25</v>
      </c>
      <c r="F11" s="149">
        <f>25%+E11</f>
        <v>0.5</v>
      </c>
      <c r="G11" s="149">
        <f>25%+F11</f>
        <v>0.75</v>
      </c>
      <c r="H11" s="150">
        <f>25%+G11</f>
        <v>1</v>
      </c>
      <c r="I11" s="249">
        <v>0.23799999999999999</v>
      </c>
      <c r="J11" s="149">
        <v>0.5</v>
      </c>
      <c r="K11" s="149"/>
      <c r="L11" s="150"/>
      <c r="M11" s="1013"/>
      <c r="N11" s="1083"/>
      <c r="O11" s="1016"/>
      <c r="P11" s="1052"/>
      <c r="Q11" s="1013"/>
      <c r="R11" s="1019"/>
      <c r="S11" s="1022"/>
      <c r="T11" s="1019"/>
      <c r="U11" s="1022"/>
      <c r="V11" s="1083"/>
      <c r="W11" s="1016"/>
      <c r="X11" s="1019"/>
      <c r="Y11" s="1324"/>
      <c r="Z11" s="1019"/>
      <c r="AA11" s="1022"/>
      <c r="AB11" s="1019"/>
    </row>
    <row r="12" spans="2:28" ht="60.75" customHeight="1" thickBot="1" x14ac:dyDescent="0.3">
      <c r="B12" s="1420"/>
      <c r="C12" s="1422"/>
      <c r="D12" s="111" t="s">
        <v>70</v>
      </c>
      <c r="E12" s="151">
        <v>0.25</v>
      </c>
      <c r="F12" s="152">
        <v>0.5</v>
      </c>
      <c r="G12" s="152">
        <v>0.75</v>
      </c>
      <c r="H12" s="153">
        <v>1</v>
      </c>
      <c r="I12" s="253">
        <v>0.25</v>
      </c>
      <c r="J12" s="152">
        <v>0.5</v>
      </c>
      <c r="K12" s="152"/>
      <c r="L12" s="153"/>
      <c r="M12" s="1080"/>
      <c r="N12" s="1337"/>
      <c r="O12" s="1081"/>
      <c r="P12" s="1329"/>
      <c r="Q12" s="1080"/>
      <c r="R12" s="1082"/>
      <c r="S12" s="1087"/>
      <c r="T12" s="1082"/>
      <c r="U12" s="1087"/>
      <c r="V12" s="1337"/>
      <c r="W12" s="1081"/>
      <c r="X12" s="1082"/>
      <c r="Y12" s="1325"/>
      <c r="Z12" s="1082"/>
      <c r="AA12" s="1087"/>
      <c r="AB12" s="1082"/>
    </row>
    <row r="13" spans="2:28" ht="42" customHeight="1" x14ac:dyDescent="0.25">
      <c r="B13" s="1326" t="s">
        <v>71</v>
      </c>
      <c r="C13" s="1041">
        <v>0.25</v>
      </c>
      <c r="D13" s="112" t="s">
        <v>72</v>
      </c>
      <c r="E13" s="154">
        <v>0.25</v>
      </c>
      <c r="F13" s="155">
        <v>0.5</v>
      </c>
      <c r="G13" s="155">
        <v>0.75</v>
      </c>
      <c r="H13" s="156">
        <v>1</v>
      </c>
      <c r="I13" s="254">
        <v>0.25</v>
      </c>
      <c r="J13" s="155">
        <v>0.5</v>
      </c>
      <c r="K13" s="155"/>
      <c r="L13" s="156"/>
      <c r="M13" s="1323">
        <f>+AVERAGE(E13:E16)*$C$13</f>
        <v>9.0624999999999997E-2</v>
      </c>
      <c r="N13" s="1332">
        <f>+AVERAGE(F13:F16)*$C$13</f>
        <v>0.15625</v>
      </c>
      <c r="O13" s="1015">
        <f>+AVERAGE(G13:G16)*$C$13</f>
        <v>0.1875</v>
      </c>
      <c r="P13" s="1085">
        <f>+AVERAGE(H13:H16)*$C$13</f>
        <v>0.25</v>
      </c>
      <c r="Q13" s="1012">
        <f>+AVERAGE(I13:I16)</f>
        <v>0.36249999999999999</v>
      </c>
      <c r="R13" s="1018">
        <f>+AVERAGE(J13:J16)</f>
        <v>0.625</v>
      </c>
      <c r="S13" s="1021" t="e">
        <f>+AVERAGE(K13:K16)</f>
        <v>#DIV/0!</v>
      </c>
      <c r="T13" s="1085" t="e">
        <f>+AVERAGE(L13:L16)</f>
        <v>#DIV/0!</v>
      </c>
      <c r="U13" s="1012">
        <f>+Q13*$C$13</f>
        <v>9.0624999999999997E-2</v>
      </c>
      <c r="V13" s="1332">
        <f>+R13*$C$13</f>
        <v>0.15625</v>
      </c>
      <c r="W13" s="1015" t="e">
        <f>+S13*$C$13</f>
        <v>#DIV/0!</v>
      </c>
      <c r="X13" s="1085" t="e">
        <f>+T13*$C$13</f>
        <v>#DIV/0!</v>
      </c>
      <c r="Y13" s="1012">
        <f>+U13/M13</f>
        <v>1</v>
      </c>
      <c r="Z13" s="1018">
        <f>+V13/N13</f>
        <v>1</v>
      </c>
      <c r="AA13" s="1021" t="e">
        <f>+W13/O13</f>
        <v>#DIV/0!</v>
      </c>
      <c r="AB13" s="1018" t="e">
        <f>+X13/P13</f>
        <v>#DIV/0!</v>
      </c>
    </row>
    <row r="14" spans="2:28" ht="42.75" customHeight="1" x14ac:dyDescent="0.25">
      <c r="B14" s="1327"/>
      <c r="C14" s="1042"/>
      <c r="D14" s="113" t="s">
        <v>73</v>
      </c>
      <c r="E14" s="157">
        <v>0.25</v>
      </c>
      <c r="F14" s="158">
        <v>0.5</v>
      </c>
      <c r="G14" s="158">
        <v>0.75</v>
      </c>
      <c r="H14" s="159">
        <v>1</v>
      </c>
      <c r="I14" s="241">
        <v>0.25</v>
      </c>
      <c r="J14" s="158">
        <v>0.5</v>
      </c>
      <c r="K14" s="158"/>
      <c r="L14" s="159"/>
      <c r="M14" s="1324"/>
      <c r="N14" s="1083"/>
      <c r="O14" s="1016"/>
      <c r="P14" s="1052"/>
      <c r="Q14" s="1013"/>
      <c r="R14" s="1019"/>
      <c r="S14" s="1022"/>
      <c r="T14" s="1052"/>
      <c r="U14" s="1013"/>
      <c r="V14" s="1083"/>
      <c r="W14" s="1016"/>
      <c r="X14" s="1052"/>
      <c r="Y14" s="1013"/>
      <c r="Z14" s="1019"/>
      <c r="AA14" s="1022"/>
      <c r="AB14" s="1019"/>
    </row>
    <row r="15" spans="2:28" ht="63" customHeight="1" x14ac:dyDescent="0.25">
      <c r="B15" s="1327"/>
      <c r="C15" s="1042"/>
      <c r="D15" s="113" t="s">
        <v>74</v>
      </c>
      <c r="E15" s="157">
        <v>0.7</v>
      </c>
      <c r="F15" s="158">
        <v>1</v>
      </c>
      <c r="G15" s="158"/>
      <c r="H15" s="159"/>
      <c r="I15" s="241">
        <v>0.7</v>
      </c>
      <c r="J15" s="158">
        <v>1</v>
      </c>
      <c r="K15" s="158"/>
      <c r="L15" s="159"/>
      <c r="M15" s="1324"/>
      <c r="N15" s="1083"/>
      <c r="O15" s="1016"/>
      <c r="P15" s="1052"/>
      <c r="Q15" s="1013"/>
      <c r="R15" s="1019"/>
      <c r="S15" s="1022"/>
      <c r="T15" s="1052"/>
      <c r="U15" s="1013"/>
      <c r="V15" s="1083"/>
      <c r="W15" s="1016"/>
      <c r="X15" s="1052"/>
      <c r="Y15" s="1013"/>
      <c r="Z15" s="1019"/>
      <c r="AA15" s="1022"/>
      <c r="AB15" s="1019"/>
    </row>
    <row r="16" spans="2:28" ht="42.75" customHeight="1" thickBot="1" x14ac:dyDescent="0.3">
      <c r="B16" s="1328"/>
      <c r="C16" s="1043"/>
      <c r="D16" s="114" t="s">
        <v>75</v>
      </c>
      <c r="E16" s="160">
        <v>0.25</v>
      </c>
      <c r="F16" s="161">
        <v>0.5</v>
      </c>
      <c r="G16" s="161">
        <v>0.75</v>
      </c>
      <c r="H16" s="162">
        <v>1</v>
      </c>
      <c r="I16" s="255">
        <v>0.25</v>
      </c>
      <c r="J16" s="161">
        <v>0.5</v>
      </c>
      <c r="K16" s="161"/>
      <c r="L16" s="162"/>
      <c r="M16" s="1325"/>
      <c r="N16" s="1337"/>
      <c r="O16" s="1081"/>
      <c r="P16" s="1329"/>
      <c r="Q16" s="1080"/>
      <c r="R16" s="1082"/>
      <c r="S16" s="1087"/>
      <c r="T16" s="1329"/>
      <c r="U16" s="1080"/>
      <c r="V16" s="1337"/>
      <c r="W16" s="1081"/>
      <c r="X16" s="1329"/>
      <c r="Y16" s="1080"/>
      <c r="Z16" s="1082"/>
      <c r="AA16" s="1087"/>
      <c r="AB16" s="1082"/>
    </row>
    <row r="17" spans="2:28" ht="45.75" customHeight="1" x14ac:dyDescent="0.25">
      <c r="B17" s="1326" t="s">
        <v>76</v>
      </c>
      <c r="C17" s="1041">
        <v>0.15</v>
      </c>
      <c r="D17" s="115" t="s">
        <v>77</v>
      </c>
      <c r="E17" s="125">
        <v>0.25</v>
      </c>
      <c r="F17" s="126">
        <f t="shared" ref="F17:H20" si="0">25%+E17</f>
        <v>0.5</v>
      </c>
      <c r="G17" s="126">
        <f t="shared" si="0"/>
        <v>0.75</v>
      </c>
      <c r="H17" s="127">
        <f t="shared" si="0"/>
        <v>1</v>
      </c>
      <c r="I17" s="250">
        <v>0.24399999999999999</v>
      </c>
      <c r="J17" s="126">
        <v>0.47</v>
      </c>
      <c r="K17" s="126"/>
      <c r="L17" s="127"/>
      <c r="M17" s="1323">
        <f>+AVERAGE(E17:E21)*$C$17</f>
        <v>3.7499999999999999E-2</v>
      </c>
      <c r="N17" s="1332">
        <f>+AVERAGE(F17:F21)*$C$17</f>
        <v>7.4999999999999997E-2</v>
      </c>
      <c r="O17" s="1015">
        <f>+AVERAGE(G17:G21)*$C$17</f>
        <v>0.11249999999999999</v>
      </c>
      <c r="P17" s="1018">
        <f>+AVERAGE(H17:H21)*$C$17</f>
        <v>0.15</v>
      </c>
      <c r="Q17" s="1012">
        <f>+AVERAGE(I17:I21)</f>
        <v>0.24879999999999999</v>
      </c>
      <c r="R17" s="1018">
        <f>+AVERAGE(J17:J21)</f>
        <v>0.48159999999999997</v>
      </c>
      <c r="S17" s="1021" t="e">
        <f>+AVERAGE(K17:K21)</f>
        <v>#DIV/0!</v>
      </c>
      <c r="T17" s="1018" t="e">
        <f>+AVERAGE(L17:L21)</f>
        <v>#DIV/0!</v>
      </c>
      <c r="U17" s="1021">
        <f>+Q17*$C$17</f>
        <v>3.7319999999999999E-2</v>
      </c>
      <c r="V17" s="1332">
        <f>+R17*$C$17</f>
        <v>7.2239999999999999E-2</v>
      </c>
      <c r="W17" s="1015" t="e">
        <f>+S17*$C$17</f>
        <v>#DIV/0!</v>
      </c>
      <c r="X17" s="1085" t="e">
        <f>+T17*$C$17</f>
        <v>#DIV/0!</v>
      </c>
      <c r="Y17" s="1012">
        <f>+U17/M17</f>
        <v>0.99519999999999997</v>
      </c>
      <c r="Z17" s="1018">
        <f>+V17/N17</f>
        <v>0.96320000000000006</v>
      </c>
      <c r="AA17" s="1021" t="e">
        <f>+W17/O17</f>
        <v>#DIV/0!</v>
      </c>
      <c r="AB17" s="1018" t="e">
        <f>+X17/P17</f>
        <v>#DIV/0!</v>
      </c>
    </row>
    <row r="18" spans="2:28" ht="42.75" customHeight="1" x14ac:dyDescent="0.25">
      <c r="B18" s="1327"/>
      <c r="C18" s="1042"/>
      <c r="D18" s="116" t="s">
        <v>78</v>
      </c>
      <c r="E18" s="163">
        <v>0.25</v>
      </c>
      <c r="F18" s="164">
        <f t="shared" si="0"/>
        <v>0.5</v>
      </c>
      <c r="G18" s="164">
        <f t="shared" si="0"/>
        <v>0.75</v>
      </c>
      <c r="H18" s="165">
        <f t="shared" si="0"/>
        <v>1</v>
      </c>
      <c r="I18" s="256">
        <v>0.25</v>
      </c>
      <c r="J18" s="164">
        <v>0.5</v>
      </c>
      <c r="K18" s="164"/>
      <c r="L18" s="165"/>
      <c r="M18" s="1324"/>
      <c r="N18" s="1083"/>
      <c r="O18" s="1016"/>
      <c r="P18" s="1019"/>
      <c r="Q18" s="1013"/>
      <c r="R18" s="1019"/>
      <c r="S18" s="1022"/>
      <c r="T18" s="1019"/>
      <c r="U18" s="1022"/>
      <c r="V18" s="1083"/>
      <c r="W18" s="1016"/>
      <c r="X18" s="1052"/>
      <c r="Y18" s="1013"/>
      <c r="Z18" s="1019"/>
      <c r="AA18" s="1022"/>
      <c r="AB18" s="1019"/>
    </row>
    <row r="19" spans="2:28" ht="45.75" customHeight="1" x14ac:dyDescent="0.25">
      <c r="B19" s="1327"/>
      <c r="C19" s="1042"/>
      <c r="D19" s="117" t="s">
        <v>79</v>
      </c>
      <c r="E19" s="163">
        <v>0.25</v>
      </c>
      <c r="F19" s="164">
        <f t="shared" si="0"/>
        <v>0.5</v>
      </c>
      <c r="G19" s="164">
        <f t="shared" si="0"/>
        <v>0.75</v>
      </c>
      <c r="H19" s="165">
        <f t="shared" si="0"/>
        <v>1</v>
      </c>
      <c r="I19" s="256">
        <v>0.25</v>
      </c>
      <c r="J19" s="164">
        <v>0.5</v>
      </c>
      <c r="K19" s="164"/>
      <c r="L19" s="165"/>
      <c r="M19" s="1324"/>
      <c r="N19" s="1083"/>
      <c r="O19" s="1016"/>
      <c r="P19" s="1019"/>
      <c r="Q19" s="1013"/>
      <c r="R19" s="1019"/>
      <c r="S19" s="1022"/>
      <c r="T19" s="1019"/>
      <c r="U19" s="1022"/>
      <c r="V19" s="1083"/>
      <c r="W19" s="1016"/>
      <c r="X19" s="1052"/>
      <c r="Y19" s="1013"/>
      <c r="Z19" s="1019"/>
      <c r="AA19" s="1022"/>
      <c r="AB19" s="1019"/>
    </row>
    <row r="20" spans="2:28" ht="75.75" customHeight="1" x14ac:dyDescent="0.25">
      <c r="B20" s="1327"/>
      <c r="C20" s="1042"/>
      <c r="D20" s="118" t="s">
        <v>80</v>
      </c>
      <c r="E20" s="163">
        <v>0.25</v>
      </c>
      <c r="F20" s="164">
        <f t="shared" si="0"/>
        <v>0.5</v>
      </c>
      <c r="G20" s="164">
        <f t="shared" si="0"/>
        <v>0.75</v>
      </c>
      <c r="H20" s="165">
        <f t="shared" si="0"/>
        <v>1</v>
      </c>
      <c r="I20" s="256">
        <v>0.25</v>
      </c>
      <c r="J20" s="164">
        <v>0.438</v>
      </c>
      <c r="K20" s="164"/>
      <c r="L20" s="165"/>
      <c r="M20" s="1324"/>
      <c r="N20" s="1083"/>
      <c r="O20" s="1016"/>
      <c r="P20" s="1019"/>
      <c r="Q20" s="1013"/>
      <c r="R20" s="1019"/>
      <c r="S20" s="1022"/>
      <c r="T20" s="1019"/>
      <c r="U20" s="1022"/>
      <c r="V20" s="1083"/>
      <c r="W20" s="1016"/>
      <c r="X20" s="1052"/>
      <c r="Y20" s="1013"/>
      <c r="Z20" s="1019"/>
      <c r="AA20" s="1022"/>
      <c r="AB20" s="1019"/>
    </row>
    <row r="21" spans="2:28" ht="59.25" customHeight="1" thickBot="1" x14ac:dyDescent="0.3">
      <c r="B21" s="1327"/>
      <c r="C21" s="1042"/>
      <c r="D21" s="119" t="s">
        <v>81</v>
      </c>
      <c r="E21" s="166">
        <v>0.25</v>
      </c>
      <c r="F21" s="167">
        <v>0.5</v>
      </c>
      <c r="G21" s="167">
        <v>0.75</v>
      </c>
      <c r="H21" s="168">
        <v>1</v>
      </c>
      <c r="I21" s="257">
        <v>0.25</v>
      </c>
      <c r="J21" s="167">
        <v>0.5</v>
      </c>
      <c r="K21" s="167"/>
      <c r="L21" s="168"/>
      <c r="M21" s="1325"/>
      <c r="N21" s="1337"/>
      <c r="O21" s="1017"/>
      <c r="P21" s="1020"/>
      <c r="Q21" s="1014"/>
      <c r="R21" s="1020"/>
      <c r="S21" s="1023"/>
      <c r="T21" s="1020"/>
      <c r="U21" s="1023"/>
      <c r="V21" s="1337"/>
      <c r="W21" s="1017"/>
      <c r="X21" s="1086"/>
      <c r="Y21" s="1014"/>
      <c r="Z21" s="1020"/>
      <c r="AA21" s="1023"/>
      <c r="AB21" s="1020"/>
    </row>
    <row r="22" spans="2:28" ht="95.25" customHeight="1" x14ac:dyDescent="0.25">
      <c r="B22" s="1326" t="s">
        <v>82</v>
      </c>
      <c r="C22" s="1415">
        <v>0.15</v>
      </c>
      <c r="D22" s="120" t="s">
        <v>83</v>
      </c>
      <c r="E22" s="125">
        <v>0.25</v>
      </c>
      <c r="F22" s="126">
        <f t="shared" ref="F22:H28" si="1">25%+E22</f>
        <v>0.5</v>
      </c>
      <c r="G22" s="126">
        <f t="shared" si="1"/>
        <v>0.75</v>
      </c>
      <c r="H22" s="127">
        <f t="shared" si="1"/>
        <v>1</v>
      </c>
      <c r="I22" s="250">
        <v>0.22500000000000001</v>
      </c>
      <c r="J22" s="126">
        <v>0.47499999999999998</v>
      </c>
      <c r="K22" s="126"/>
      <c r="L22" s="127"/>
      <c r="M22" s="1323">
        <f>+AVERAGE(E22:E26)*$C$22</f>
        <v>3.7499999999999999E-2</v>
      </c>
      <c r="N22" s="1332">
        <f>+AVERAGE(F22:F26)*$C$22</f>
        <v>7.4999999999999997E-2</v>
      </c>
      <c r="O22" s="1045">
        <f>+AVERAGE(G22:G26)*$C$22</f>
        <v>0.11249999999999999</v>
      </c>
      <c r="P22" s="1051">
        <f>+AVERAGE(H22:H26)*$C$22</f>
        <v>0.15</v>
      </c>
      <c r="Q22" s="1044">
        <f>+AVERAGE(I22:I26)</f>
        <v>0.24500000000000002</v>
      </c>
      <c r="R22" s="1049">
        <f>+AVERAGE(J22:J26)</f>
        <v>0.495</v>
      </c>
      <c r="S22" s="1050" t="e">
        <f>+AVERAGE(K22:K26)</f>
        <v>#DIV/0!</v>
      </c>
      <c r="T22" s="1051" t="e">
        <f>+AVERAGE(L22:L26)</f>
        <v>#DIV/0!</v>
      </c>
      <c r="U22" s="1044">
        <f>+Q22*$C$22</f>
        <v>3.6750000000000005E-2</v>
      </c>
      <c r="V22" s="1332">
        <f>+R22*$C$22</f>
        <v>7.4249999999999997E-2</v>
      </c>
      <c r="W22" s="1045" t="e">
        <f>+S22*$C$22</f>
        <v>#DIV/0!</v>
      </c>
      <c r="X22" s="1051" t="e">
        <f>+T22*$C$22</f>
        <v>#DIV/0!</v>
      </c>
      <c r="Y22" s="1044">
        <f>+U22/M22</f>
        <v>0.9800000000000002</v>
      </c>
      <c r="Z22" s="1049">
        <f>+V22/N22</f>
        <v>0.99</v>
      </c>
      <c r="AA22" s="1050" t="e">
        <f>+W22/O22</f>
        <v>#DIV/0!</v>
      </c>
      <c r="AB22" s="1049" t="e">
        <f>+X22/P22</f>
        <v>#DIV/0!</v>
      </c>
    </row>
    <row r="23" spans="2:28" ht="43.5" customHeight="1" x14ac:dyDescent="0.25">
      <c r="B23" s="1327"/>
      <c r="C23" s="1416"/>
      <c r="D23" s="118" t="s">
        <v>84</v>
      </c>
      <c r="E23" s="163">
        <v>0.25</v>
      </c>
      <c r="F23" s="164">
        <f t="shared" si="1"/>
        <v>0.5</v>
      </c>
      <c r="G23" s="164">
        <f t="shared" si="1"/>
        <v>0.75</v>
      </c>
      <c r="H23" s="165">
        <f t="shared" si="1"/>
        <v>1</v>
      </c>
      <c r="I23" s="256">
        <v>0.25</v>
      </c>
      <c r="J23" s="164">
        <v>0.5</v>
      </c>
      <c r="K23" s="164"/>
      <c r="L23" s="165"/>
      <c r="M23" s="1324"/>
      <c r="N23" s="1083"/>
      <c r="O23" s="1083"/>
      <c r="P23" s="1331"/>
      <c r="Q23" s="1324"/>
      <c r="R23" s="1084"/>
      <c r="S23" s="1070"/>
      <c r="T23" s="1331"/>
      <c r="U23" s="1324"/>
      <c r="V23" s="1083"/>
      <c r="W23" s="1083"/>
      <c r="X23" s="1331"/>
      <c r="Y23" s="1324"/>
      <c r="Z23" s="1084"/>
      <c r="AA23" s="1070"/>
      <c r="AB23" s="1084"/>
    </row>
    <row r="24" spans="2:28" ht="32.25" customHeight="1" x14ac:dyDescent="0.25">
      <c r="B24" s="1327"/>
      <c r="C24" s="1416"/>
      <c r="D24" s="118" t="s">
        <v>85</v>
      </c>
      <c r="E24" s="163">
        <v>0.25</v>
      </c>
      <c r="F24" s="164">
        <f t="shared" si="1"/>
        <v>0.5</v>
      </c>
      <c r="G24" s="164">
        <f t="shared" si="1"/>
        <v>0.75</v>
      </c>
      <c r="H24" s="165">
        <f t="shared" si="1"/>
        <v>1</v>
      </c>
      <c r="I24" s="256">
        <v>0.25</v>
      </c>
      <c r="J24" s="164">
        <v>0.5</v>
      </c>
      <c r="K24" s="164"/>
      <c r="L24" s="165"/>
      <c r="M24" s="1324"/>
      <c r="N24" s="1083"/>
      <c r="O24" s="1083"/>
      <c r="P24" s="1331"/>
      <c r="Q24" s="1324"/>
      <c r="R24" s="1084"/>
      <c r="S24" s="1070"/>
      <c r="T24" s="1331"/>
      <c r="U24" s="1324"/>
      <c r="V24" s="1083"/>
      <c r="W24" s="1083"/>
      <c r="X24" s="1331"/>
      <c r="Y24" s="1324"/>
      <c r="Z24" s="1084"/>
      <c r="AA24" s="1070"/>
      <c r="AB24" s="1084"/>
    </row>
    <row r="25" spans="2:28" ht="49.5" customHeight="1" x14ac:dyDescent="0.25">
      <c r="B25" s="1327"/>
      <c r="C25" s="1416"/>
      <c r="D25" s="116" t="s">
        <v>86</v>
      </c>
      <c r="E25" s="163">
        <v>0.25</v>
      </c>
      <c r="F25" s="164">
        <f t="shared" si="1"/>
        <v>0.5</v>
      </c>
      <c r="G25" s="164">
        <f t="shared" si="1"/>
        <v>0.75</v>
      </c>
      <c r="H25" s="165">
        <f t="shared" si="1"/>
        <v>1</v>
      </c>
      <c r="I25" s="256">
        <v>0.25</v>
      </c>
      <c r="J25" s="164">
        <v>0.5</v>
      </c>
      <c r="K25" s="164"/>
      <c r="L25" s="165"/>
      <c r="M25" s="1324"/>
      <c r="N25" s="1083"/>
      <c r="O25" s="1083"/>
      <c r="P25" s="1331"/>
      <c r="Q25" s="1324"/>
      <c r="R25" s="1084"/>
      <c r="S25" s="1070"/>
      <c r="T25" s="1331"/>
      <c r="U25" s="1324"/>
      <c r="V25" s="1083"/>
      <c r="W25" s="1083"/>
      <c r="X25" s="1331"/>
      <c r="Y25" s="1324"/>
      <c r="Z25" s="1084"/>
      <c r="AA25" s="1070"/>
      <c r="AB25" s="1084"/>
    </row>
    <row r="26" spans="2:28" ht="37.5" customHeight="1" thickBot="1" x14ac:dyDescent="0.3">
      <c r="B26" s="1328"/>
      <c r="C26" s="1417"/>
      <c r="D26" s="121" t="s">
        <v>87</v>
      </c>
      <c r="E26" s="169">
        <v>0.25</v>
      </c>
      <c r="F26" s="170">
        <f t="shared" si="1"/>
        <v>0.5</v>
      </c>
      <c r="G26" s="170">
        <f t="shared" si="1"/>
        <v>0.75</v>
      </c>
      <c r="H26" s="171">
        <f t="shared" si="1"/>
        <v>1</v>
      </c>
      <c r="I26" s="258">
        <v>0.25</v>
      </c>
      <c r="J26" s="170">
        <v>0.5</v>
      </c>
      <c r="K26" s="170"/>
      <c r="L26" s="171"/>
      <c r="M26" s="1325"/>
      <c r="N26" s="1337"/>
      <c r="O26" s="1081"/>
      <c r="P26" s="1329"/>
      <c r="Q26" s="1080"/>
      <c r="R26" s="1082"/>
      <c r="S26" s="1087"/>
      <c r="T26" s="1329"/>
      <c r="U26" s="1080"/>
      <c r="V26" s="1337"/>
      <c r="W26" s="1081"/>
      <c r="X26" s="1329"/>
      <c r="Y26" s="1080"/>
      <c r="Z26" s="1082"/>
      <c r="AA26" s="1087"/>
      <c r="AB26" s="1082"/>
    </row>
    <row r="27" spans="2:28" ht="72" customHeight="1" x14ac:dyDescent="0.25">
      <c r="B27" s="1326" t="s">
        <v>88</v>
      </c>
      <c r="C27" s="1413">
        <v>0.15</v>
      </c>
      <c r="D27" s="108" t="s">
        <v>89</v>
      </c>
      <c r="E27" s="125">
        <v>0.25</v>
      </c>
      <c r="F27" s="126">
        <f t="shared" si="1"/>
        <v>0.5</v>
      </c>
      <c r="G27" s="126">
        <f t="shared" si="1"/>
        <v>0.75</v>
      </c>
      <c r="H27" s="127">
        <f t="shared" si="1"/>
        <v>1</v>
      </c>
      <c r="I27" s="251">
        <v>0.25</v>
      </c>
      <c r="J27" s="126">
        <v>0.5</v>
      </c>
      <c r="K27" s="126"/>
      <c r="L27" s="172"/>
      <c r="M27" s="1323">
        <f>+AVERAGE(E27:E28)*$C$27</f>
        <v>0.03</v>
      </c>
      <c r="N27" s="1332">
        <f>+AVERAGE(F27:F28)*$C$27</f>
        <v>7.1249999999999994E-2</v>
      </c>
      <c r="O27" s="1015">
        <f>+AVERAGE(G27)*$C$27</f>
        <v>0.11249999999999999</v>
      </c>
      <c r="P27" s="1085">
        <f>+AVERAGE(H27)*$C$27</f>
        <v>0.15</v>
      </c>
      <c r="Q27" s="1012">
        <f>+AVERAGE(I27:I28)</f>
        <v>0.2</v>
      </c>
      <c r="R27" s="1018">
        <f>+AVERAGE(J27:J28)</f>
        <v>0.47499999999999998</v>
      </c>
      <c r="S27" s="1021" t="e">
        <f>+AVERAGE(K27)</f>
        <v>#DIV/0!</v>
      </c>
      <c r="T27" s="1018" t="e">
        <f>+AVERAGE(L27)</f>
        <v>#DIV/0!</v>
      </c>
      <c r="U27" s="1012">
        <f>+Q27*$C$27</f>
        <v>0.03</v>
      </c>
      <c r="V27" s="1332">
        <f>+R27*$C$27</f>
        <v>7.1249999999999994E-2</v>
      </c>
      <c r="W27" s="1015" t="e">
        <f>+S27*$C$27</f>
        <v>#DIV/0!</v>
      </c>
      <c r="X27" s="1018" t="e">
        <f>+T27*$C$27</f>
        <v>#DIV/0!</v>
      </c>
      <c r="Y27" s="1012">
        <f>+U27/M27</f>
        <v>1</v>
      </c>
      <c r="Z27" s="1018">
        <f>+V27/N27</f>
        <v>1</v>
      </c>
      <c r="AA27" s="1021" t="e">
        <f>+W27/O27</f>
        <v>#DIV/0!</v>
      </c>
      <c r="AB27" s="1018" t="e">
        <f>+X27/P27</f>
        <v>#DIV/0!</v>
      </c>
    </row>
    <row r="28" spans="2:28" ht="75.75" customHeight="1" thickBot="1" x14ac:dyDescent="0.3">
      <c r="B28" s="1328"/>
      <c r="C28" s="1414"/>
      <c r="D28" s="107" t="s">
        <v>90</v>
      </c>
      <c r="E28" s="173">
        <v>0.15</v>
      </c>
      <c r="F28" s="174">
        <v>0.45</v>
      </c>
      <c r="G28" s="174">
        <v>0.75</v>
      </c>
      <c r="H28" s="175">
        <f t="shared" si="1"/>
        <v>1</v>
      </c>
      <c r="I28" s="259">
        <v>0.15</v>
      </c>
      <c r="J28" s="174">
        <v>0.45</v>
      </c>
      <c r="K28" s="174"/>
      <c r="L28" s="176"/>
      <c r="M28" s="1325"/>
      <c r="N28" s="1337"/>
      <c r="O28" s="1017"/>
      <c r="P28" s="1086"/>
      <c r="Q28" s="1014"/>
      <c r="R28" s="1020"/>
      <c r="S28" s="1023"/>
      <c r="T28" s="1020"/>
      <c r="U28" s="1014"/>
      <c r="V28" s="1337"/>
      <c r="W28" s="1017"/>
      <c r="X28" s="1020"/>
      <c r="Y28" s="1014"/>
      <c r="Z28" s="1020"/>
      <c r="AA28" s="1023"/>
      <c r="AB28" s="1020"/>
    </row>
    <row r="29" spans="2:28" s="67" customFormat="1" ht="23.25" customHeight="1" thickBot="1" x14ac:dyDescent="0.3">
      <c r="B29" s="99" t="s">
        <v>12</v>
      </c>
      <c r="C29" s="100">
        <f>SUM(C7:C27)</f>
        <v>1</v>
      </c>
      <c r="D29" s="101"/>
      <c r="E29" s="102"/>
      <c r="F29" s="103"/>
      <c r="G29" s="103"/>
      <c r="H29" s="104"/>
      <c r="I29" s="105"/>
      <c r="J29" s="103"/>
      <c r="K29" s="103"/>
      <c r="L29" s="104"/>
      <c r="M29" s="85">
        <f>SUM(M7:M27)</f>
        <v>0.27812499999999996</v>
      </c>
      <c r="N29" s="85">
        <f>SUM(N7:N27)</f>
        <v>0.5525000000000001</v>
      </c>
      <c r="O29" s="69"/>
      <c r="P29" s="70"/>
      <c r="Q29" s="85"/>
      <c r="R29" s="70"/>
      <c r="S29" s="68"/>
      <c r="T29" s="70"/>
      <c r="U29" s="85">
        <f>SUM(U7:U27)</f>
        <v>0.27659499999999998</v>
      </c>
      <c r="V29" s="69">
        <f>SUM(V7:V27)</f>
        <v>0.54898999999999998</v>
      </c>
      <c r="W29" s="69" t="e">
        <f>SUM(W7:W27)</f>
        <v>#DIV/0!</v>
      </c>
      <c r="X29" s="70" t="e">
        <f>SUM(X7:X27)</f>
        <v>#DIV/0!</v>
      </c>
      <c r="Y29" s="85">
        <f>+U29/M29</f>
        <v>0.99449887640449441</v>
      </c>
      <c r="Z29" s="85">
        <f>+V29/N29</f>
        <v>0.99364705882352922</v>
      </c>
      <c r="AA29" s="69"/>
      <c r="AB29" s="70"/>
    </row>
    <row r="31" spans="2:28" x14ac:dyDescent="0.25">
      <c r="H31" t="s">
        <v>129</v>
      </c>
      <c r="I31" s="228"/>
    </row>
    <row r="32" spans="2:28" x14ac:dyDescent="0.25">
      <c r="H32" t="s">
        <v>130</v>
      </c>
      <c r="I32" s="229"/>
      <c r="J32" s="231"/>
    </row>
    <row r="33" spans="8:10" x14ac:dyDescent="0.25">
      <c r="H33" t="s">
        <v>131</v>
      </c>
      <c r="I33" s="230"/>
      <c r="J33" s="231"/>
    </row>
    <row r="35" spans="8:10" x14ac:dyDescent="0.25">
      <c r="J35" s="233"/>
    </row>
  </sheetData>
  <mergeCells count="100">
    <mergeCell ref="P7:P12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X7:X12"/>
    <mergeCell ref="Y7:Y12"/>
    <mergeCell ref="Z7:Z12"/>
    <mergeCell ref="AA7:AA12"/>
    <mergeCell ref="AB7:AB12"/>
    <mergeCell ref="B13:B16"/>
    <mergeCell ref="C13:C16"/>
    <mergeCell ref="M13:M16"/>
    <mergeCell ref="N13:N16"/>
    <mergeCell ref="W7:W12"/>
    <mergeCell ref="Q7:Q12"/>
    <mergeCell ref="R7:R12"/>
    <mergeCell ref="S7:S12"/>
    <mergeCell ref="T7:T12"/>
    <mergeCell ref="U7:U12"/>
    <mergeCell ref="V7:V12"/>
    <mergeCell ref="B7:B12"/>
    <mergeCell ref="C7:C12"/>
    <mergeCell ref="M7:M12"/>
    <mergeCell ref="N7:N12"/>
    <mergeCell ref="O7:O12"/>
    <mergeCell ref="W13:W16"/>
    <mergeCell ref="X13:X16"/>
    <mergeCell ref="Y13:Y16"/>
    <mergeCell ref="Z13:Z16"/>
    <mergeCell ref="U13:U16"/>
    <mergeCell ref="V13:V16"/>
    <mergeCell ref="W17:W21"/>
    <mergeCell ref="X17:X21"/>
    <mergeCell ref="Y17:Y21"/>
    <mergeCell ref="Z17:Z21"/>
    <mergeCell ref="S17:S21"/>
    <mergeCell ref="T17:T21"/>
    <mergeCell ref="U17:U21"/>
    <mergeCell ref="V17:V21"/>
    <mergeCell ref="V22:V26"/>
    <mergeCell ref="B22:B26"/>
    <mergeCell ref="C22:C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AA13:AA16"/>
    <mergeCell ref="AB13:AB16"/>
    <mergeCell ref="B17:B21"/>
    <mergeCell ref="C17:C21"/>
    <mergeCell ref="M17:M21"/>
    <mergeCell ref="N17:N21"/>
    <mergeCell ref="O17:O21"/>
    <mergeCell ref="P17:P21"/>
    <mergeCell ref="Q17:Q21"/>
    <mergeCell ref="R17:R21"/>
    <mergeCell ref="O13:O16"/>
    <mergeCell ref="P13:P16"/>
    <mergeCell ref="Q13:Q16"/>
    <mergeCell ref="R13:R16"/>
    <mergeCell ref="S13:S16"/>
    <mergeCell ref="T13:T16"/>
    <mergeCell ref="AA17:AA21"/>
    <mergeCell ref="AB17:AB21"/>
    <mergeCell ref="B27:B28"/>
    <mergeCell ref="C27:C28"/>
    <mergeCell ref="M27:M28"/>
    <mergeCell ref="N27:N28"/>
    <mergeCell ref="O27:O28"/>
    <mergeCell ref="P27:P28"/>
    <mergeCell ref="Q27:Q28"/>
    <mergeCell ref="R27:R28"/>
    <mergeCell ref="W22:W26"/>
    <mergeCell ref="X22:X26"/>
    <mergeCell ref="Y22:Y26"/>
    <mergeCell ref="Z22:Z26"/>
    <mergeCell ref="AA22:AA26"/>
    <mergeCell ref="AB22:AB26"/>
    <mergeCell ref="Y27:Y28"/>
    <mergeCell ref="Z27:Z28"/>
    <mergeCell ref="AA27:AA28"/>
    <mergeCell ref="AB27:AB28"/>
    <mergeCell ref="S27:S28"/>
    <mergeCell ref="T27:T28"/>
    <mergeCell ref="U27:U28"/>
    <mergeCell ref="V27:V28"/>
    <mergeCell ref="W27:W28"/>
    <mergeCell ref="X27:X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2:AB35"/>
  <sheetViews>
    <sheetView topLeftCell="A31" zoomScale="80" zoomScaleNormal="80" workbookViewId="0">
      <selection activeCell="O36" sqref="O36"/>
    </sheetView>
  </sheetViews>
  <sheetFormatPr baseColWidth="10" defaultRowHeight="15" x14ac:dyDescent="0.25"/>
  <cols>
    <col min="1" max="1" width="2.28515625" customWidth="1"/>
    <col min="2" max="2" width="28.7109375" customWidth="1"/>
    <col min="3" max="3" width="11.42578125" style="329"/>
    <col min="4" max="4" width="23.42578125" customWidth="1"/>
    <col min="5" max="6" width="0" hidden="1" customWidth="1"/>
    <col min="7" max="7" width="14.140625" customWidth="1"/>
    <col min="8" max="8" width="11.42578125" hidden="1" customWidth="1"/>
    <col min="9" max="9" width="14" hidden="1" customWidth="1"/>
    <col min="10" max="10" width="15.85546875" hidden="1" customWidth="1"/>
    <col min="11" max="11" width="17" customWidth="1"/>
    <col min="12" max="12" width="11.42578125" hidden="1" customWidth="1"/>
    <col min="13" max="13" width="11" style="139" hidden="1" customWidth="1"/>
    <col min="14" max="14" width="21.28515625" style="139" hidden="1" customWidth="1"/>
    <col min="15" max="15" width="19.140625" style="139" customWidth="1"/>
    <col min="16" max="16" width="11.42578125" style="139" hidden="1" customWidth="1"/>
    <col min="17" max="17" width="22.5703125" hidden="1" customWidth="1"/>
    <col min="18" max="18" width="19" hidden="1" customWidth="1"/>
    <col min="19" max="19" width="18.5703125" customWidth="1"/>
    <col min="20" max="20" width="11.42578125" hidden="1" customWidth="1"/>
    <col min="21" max="21" width="24.42578125" hidden="1" customWidth="1"/>
    <col min="22" max="22" width="21.42578125" hidden="1" customWidth="1"/>
    <col min="23" max="23" width="17.28515625" customWidth="1"/>
    <col min="24" max="24" width="11.42578125" hidden="1" customWidth="1"/>
    <col min="25" max="25" width="24.7109375" hidden="1" customWidth="1"/>
    <col min="26" max="26" width="24.28515625" hidden="1" customWidth="1"/>
    <col min="27" max="27" width="18.140625" customWidth="1"/>
    <col min="28" max="28" width="11.42578125" hidden="1" customWidth="1"/>
  </cols>
  <sheetData>
    <row r="2" spans="2:28" ht="15.75" thickBot="1" x14ac:dyDescent="0.3"/>
    <row r="3" spans="2:28" ht="30" thickTop="1" thickBot="1" x14ac:dyDescent="0.5">
      <c r="B3" s="1115" t="s">
        <v>310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1116"/>
      <c r="Y3" s="1116"/>
      <c r="Z3" s="1116"/>
      <c r="AA3" s="1116"/>
      <c r="AB3" s="1117"/>
    </row>
    <row r="4" spans="2:28" ht="16.5" thickTop="1" thickBot="1" x14ac:dyDescent="0.3"/>
    <row r="5" spans="2:28" ht="83.25" customHeight="1" thickTop="1" x14ac:dyDescent="0.25">
      <c r="B5" s="1490" t="s">
        <v>0</v>
      </c>
      <c r="C5" s="1492" t="s">
        <v>1</v>
      </c>
      <c r="D5" s="1494" t="s">
        <v>2</v>
      </c>
      <c r="E5" s="1496" t="s">
        <v>3</v>
      </c>
      <c r="F5" s="1497"/>
      <c r="G5" s="1497"/>
      <c r="H5" s="1498"/>
      <c r="I5" s="1496" t="s">
        <v>4</v>
      </c>
      <c r="J5" s="1497"/>
      <c r="K5" s="1497"/>
      <c r="L5" s="1498"/>
      <c r="M5" s="1496" t="s">
        <v>16</v>
      </c>
      <c r="N5" s="1499"/>
      <c r="O5" s="1499"/>
      <c r="P5" s="1500"/>
      <c r="Q5" s="1496" t="s">
        <v>5</v>
      </c>
      <c r="R5" s="1499"/>
      <c r="S5" s="1499"/>
      <c r="T5" s="1500"/>
      <c r="U5" s="1496" t="s">
        <v>6</v>
      </c>
      <c r="V5" s="1499"/>
      <c r="W5" s="1499"/>
      <c r="X5" s="1500"/>
      <c r="Y5" s="1496" t="s">
        <v>7</v>
      </c>
      <c r="Z5" s="1499"/>
      <c r="AA5" s="1499"/>
      <c r="AB5" s="1501"/>
    </row>
    <row r="6" spans="2:28" ht="27" customHeight="1" thickBot="1" x14ac:dyDescent="0.3">
      <c r="B6" s="1491"/>
      <c r="C6" s="1493"/>
      <c r="D6" s="1495"/>
      <c r="E6" s="677" t="s">
        <v>8</v>
      </c>
      <c r="F6" s="678" t="s">
        <v>9</v>
      </c>
      <c r="G6" s="678" t="s">
        <v>10</v>
      </c>
      <c r="H6" s="679" t="s">
        <v>11</v>
      </c>
      <c r="I6" s="677" t="s">
        <v>8</v>
      </c>
      <c r="J6" s="678" t="s">
        <v>9</v>
      </c>
      <c r="K6" s="678" t="s">
        <v>10</v>
      </c>
      <c r="L6" s="679" t="s">
        <v>11</v>
      </c>
      <c r="M6" s="677" t="s">
        <v>8</v>
      </c>
      <c r="N6" s="678" t="s">
        <v>9</v>
      </c>
      <c r="O6" s="678" t="s">
        <v>10</v>
      </c>
      <c r="P6" s="679" t="s">
        <v>11</v>
      </c>
      <c r="Q6" s="677" t="s">
        <v>8</v>
      </c>
      <c r="R6" s="678" t="s">
        <v>9</v>
      </c>
      <c r="S6" s="678" t="s">
        <v>10</v>
      </c>
      <c r="T6" s="679" t="s">
        <v>11</v>
      </c>
      <c r="U6" s="677" t="s">
        <v>8</v>
      </c>
      <c r="V6" s="678" t="s">
        <v>9</v>
      </c>
      <c r="W6" s="678" t="s">
        <v>10</v>
      </c>
      <c r="X6" s="679" t="s">
        <v>11</v>
      </c>
      <c r="Y6" s="677" t="s">
        <v>8</v>
      </c>
      <c r="Z6" s="678" t="s">
        <v>9</v>
      </c>
      <c r="AA6" s="678" t="s">
        <v>10</v>
      </c>
      <c r="AB6" s="680" t="s">
        <v>11</v>
      </c>
    </row>
    <row r="7" spans="2:28" ht="51.75" thickTop="1" x14ac:dyDescent="0.25">
      <c r="B7" s="1466" t="s">
        <v>192</v>
      </c>
      <c r="C7" s="1467">
        <v>0.2</v>
      </c>
      <c r="D7" s="611" t="s">
        <v>193</v>
      </c>
      <c r="E7" s="612">
        <v>0.25</v>
      </c>
      <c r="F7" s="613">
        <v>0.5</v>
      </c>
      <c r="G7" s="910">
        <v>0.75</v>
      </c>
      <c r="H7" s="911">
        <v>1</v>
      </c>
      <c r="I7" s="912">
        <v>0.25</v>
      </c>
      <c r="J7" s="562">
        <v>0.5</v>
      </c>
      <c r="K7" s="952">
        <v>0.75</v>
      </c>
      <c r="L7" s="614"/>
      <c r="M7" s="1470">
        <f>+AVERAGE(E7:E12)*$C$7</f>
        <v>0.05</v>
      </c>
      <c r="N7" s="1179">
        <f>+AVERAGE(F7:F12)*$C$7</f>
        <v>9.3600000000000003E-2</v>
      </c>
      <c r="O7" s="1179">
        <f>+AVERAGE(G7:G12)*$C$7</f>
        <v>0.12566666666666668</v>
      </c>
      <c r="P7" s="1307">
        <f>+AVERAGE(H7:H12)*$C$7</f>
        <v>0.2</v>
      </c>
      <c r="Q7" s="1479">
        <f>+AVERAGE(I7:I12)</f>
        <v>0.21875</v>
      </c>
      <c r="R7" s="1479">
        <f>+AVERAGE(J7:J12)</f>
        <v>0.46875</v>
      </c>
      <c r="S7" s="1479">
        <f>+AVERAGE(K7:K12)</f>
        <v>0.59499999999999997</v>
      </c>
      <c r="T7" s="1483" t="e">
        <f>+AVERAGE(L7:L12)</f>
        <v>#DIV/0!</v>
      </c>
      <c r="U7" s="1304">
        <f>+Q7*$C$7</f>
        <v>4.3750000000000004E-2</v>
      </c>
      <c r="V7" s="1179">
        <f>+R7*$C$7</f>
        <v>9.375E-2</v>
      </c>
      <c r="W7" s="1179">
        <f>+S7*$C$7</f>
        <v>0.11899999999999999</v>
      </c>
      <c r="X7" s="1307" t="e">
        <f>+T7*$C$7</f>
        <v>#DIV/0!</v>
      </c>
      <c r="Y7" s="1488">
        <f>+U7/M7</f>
        <v>0.875</v>
      </c>
      <c r="Z7" s="1185">
        <f>+V7/N7</f>
        <v>1.0016025641025641</v>
      </c>
      <c r="AA7" s="1475">
        <f>+W7/O7</f>
        <v>0.94694960212201584</v>
      </c>
      <c r="AB7" s="1477" t="e">
        <f>+X7/P7</f>
        <v>#DIV/0!</v>
      </c>
    </row>
    <row r="8" spans="2:28" ht="99" customHeight="1" x14ac:dyDescent="0.25">
      <c r="B8" s="1436"/>
      <c r="C8" s="1468"/>
      <c r="D8" s="494" t="s">
        <v>285</v>
      </c>
      <c r="E8" s="328"/>
      <c r="F8" s="328">
        <v>0.5</v>
      </c>
      <c r="G8" s="473">
        <v>0.5</v>
      </c>
      <c r="H8" s="913">
        <v>1</v>
      </c>
      <c r="I8" s="914">
        <v>0.25</v>
      </c>
      <c r="J8" s="468">
        <v>0.5</v>
      </c>
      <c r="K8" s="953">
        <v>0.5</v>
      </c>
      <c r="L8" s="495"/>
      <c r="M8" s="1442"/>
      <c r="N8" s="1180"/>
      <c r="O8" s="1180"/>
      <c r="P8" s="1308"/>
      <c r="Q8" s="1480"/>
      <c r="R8" s="1480"/>
      <c r="S8" s="1480"/>
      <c r="T8" s="1484"/>
      <c r="U8" s="1305"/>
      <c r="V8" s="1180"/>
      <c r="W8" s="1180"/>
      <c r="X8" s="1308"/>
      <c r="Y8" s="1456"/>
      <c r="Z8" s="1186"/>
      <c r="AA8" s="1461"/>
      <c r="AB8" s="1464"/>
    </row>
    <row r="9" spans="2:28" ht="76.5" x14ac:dyDescent="0.25">
      <c r="B9" s="1436"/>
      <c r="C9" s="1468"/>
      <c r="D9" s="494" t="s">
        <v>286</v>
      </c>
      <c r="E9" s="328">
        <v>0.25</v>
      </c>
      <c r="F9" s="328">
        <v>0.5</v>
      </c>
      <c r="G9" s="473">
        <v>0.75</v>
      </c>
      <c r="H9" s="913">
        <v>1</v>
      </c>
      <c r="I9" s="915">
        <v>0.125</v>
      </c>
      <c r="J9" s="916">
        <v>0.375</v>
      </c>
      <c r="K9" s="917">
        <v>0.625</v>
      </c>
      <c r="L9" s="495"/>
      <c r="M9" s="1442"/>
      <c r="N9" s="1180"/>
      <c r="O9" s="1180"/>
      <c r="P9" s="1308"/>
      <c r="Q9" s="1480"/>
      <c r="R9" s="1480"/>
      <c r="S9" s="1480"/>
      <c r="T9" s="1484"/>
      <c r="U9" s="1305"/>
      <c r="V9" s="1180"/>
      <c r="W9" s="1180"/>
      <c r="X9" s="1308"/>
      <c r="Y9" s="1456"/>
      <c r="Z9" s="1186"/>
      <c r="AA9" s="1461"/>
      <c r="AB9" s="1464"/>
    </row>
    <row r="10" spans="2:28" ht="81.75" hidden="1" customHeight="1" x14ac:dyDescent="0.25">
      <c r="B10" s="1436"/>
      <c r="C10" s="1468"/>
      <c r="D10" s="735" t="s">
        <v>287</v>
      </c>
      <c r="E10" s="328"/>
      <c r="F10" s="328">
        <v>0.34</v>
      </c>
      <c r="G10" s="473">
        <v>0.67</v>
      </c>
      <c r="H10" s="918">
        <v>1</v>
      </c>
      <c r="I10" s="919"/>
      <c r="J10" s="464"/>
      <c r="K10" s="442"/>
      <c r="L10" s="495"/>
      <c r="M10" s="1442"/>
      <c r="N10" s="1180"/>
      <c r="O10" s="1180"/>
      <c r="P10" s="1308"/>
      <c r="Q10" s="1480"/>
      <c r="R10" s="1480"/>
      <c r="S10" s="1480"/>
      <c r="T10" s="1484"/>
      <c r="U10" s="1305"/>
      <c r="V10" s="1180"/>
      <c r="W10" s="1180"/>
      <c r="X10" s="1308"/>
      <c r="Y10" s="1456"/>
      <c r="Z10" s="1186"/>
      <c r="AA10" s="1461"/>
      <c r="AB10" s="1464"/>
    </row>
    <row r="11" spans="2:28" ht="81.75" customHeight="1" x14ac:dyDescent="0.25">
      <c r="B11" s="1436"/>
      <c r="C11" s="1468"/>
      <c r="D11" s="616" t="s">
        <v>304</v>
      </c>
      <c r="E11" s="617"/>
      <c r="F11" s="617"/>
      <c r="G11" s="920">
        <v>0.35</v>
      </c>
      <c r="H11" s="921">
        <v>1</v>
      </c>
      <c r="I11" s="919"/>
      <c r="J11" s="573"/>
      <c r="K11" s="954">
        <v>0.35</v>
      </c>
      <c r="L11" s="529"/>
      <c r="M11" s="1471"/>
      <c r="N11" s="1472"/>
      <c r="O11" s="1472"/>
      <c r="P11" s="1473"/>
      <c r="Q11" s="1481"/>
      <c r="R11" s="1481"/>
      <c r="S11" s="1481"/>
      <c r="T11" s="1485"/>
      <c r="U11" s="1487"/>
      <c r="V11" s="1472"/>
      <c r="W11" s="1472"/>
      <c r="X11" s="1473"/>
      <c r="Y11" s="1489"/>
      <c r="Z11" s="1474"/>
      <c r="AA11" s="1476"/>
      <c r="AB11" s="1478"/>
    </row>
    <row r="12" spans="2:28" ht="90" thickBot="1" x14ac:dyDescent="0.3">
      <c r="B12" s="1437"/>
      <c r="C12" s="1469"/>
      <c r="D12" s="496" t="s">
        <v>288</v>
      </c>
      <c r="E12" s="379">
        <v>0.25</v>
      </c>
      <c r="F12" s="379">
        <v>0.5</v>
      </c>
      <c r="G12" s="475">
        <v>0.75</v>
      </c>
      <c r="H12" s="922">
        <v>1</v>
      </c>
      <c r="I12" s="914">
        <v>0.25</v>
      </c>
      <c r="J12" s="564">
        <v>0.5</v>
      </c>
      <c r="K12" s="955">
        <v>0.75</v>
      </c>
      <c r="L12" s="497"/>
      <c r="M12" s="1443"/>
      <c r="N12" s="1444"/>
      <c r="O12" s="1444"/>
      <c r="P12" s="1446"/>
      <c r="Q12" s="1482"/>
      <c r="R12" s="1482"/>
      <c r="S12" s="1482"/>
      <c r="T12" s="1486"/>
      <c r="U12" s="1451"/>
      <c r="V12" s="1444"/>
      <c r="W12" s="1444"/>
      <c r="X12" s="1446"/>
      <c r="Y12" s="1457"/>
      <c r="Z12" s="1459"/>
      <c r="AA12" s="1462"/>
      <c r="AB12" s="1465"/>
    </row>
    <row r="13" spans="2:28" ht="132" customHeight="1" thickBot="1" x14ac:dyDescent="0.3">
      <c r="B13" s="521" t="s">
        <v>194</v>
      </c>
      <c r="C13" s="748">
        <v>0.2</v>
      </c>
      <c r="D13" s="498" t="s">
        <v>289</v>
      </c>
      <c r="E13" s="487"/>
      <c r="F13" s="487">
        <v>0.5</v>
      </c>
      <c r="G13" s="923">
        <v>1</v>
      </c>
      <c r="H13" s="924">
        <v>1</v>
      </c>
      <c r="I13" s="925"/>
      <c r="J13" s="571">
        <v>0.5</v>
      </c>
      <c r="K13" s="956">
        <v>1</v>
      </c>
      <c r="L13" s="172"/>
      <c r="M13" s="517">
        <v>0</v>
      </c>
      <c r="N13" s="745">
        <f>+AVERAGE(F13:F13)*$C$13</f>
        <v>0.1</v>
      </c>
      <c r="O13" s="745">
        <f>+AVERAGE(G13:G13)*$C$13</f>
        <v>0.2</v>
      </c>
      <c r="P13" s="746">
        <f>+AVERAGE(H13:H13)*$C$13</f>
        <v>0.2</v>
      </c>
      <c r="Q13" s="747">
        <v>0</v>
      </c>
      <c r="R13" s="745">
        <f>+AVERAGE(J13:J13)</f>
        <v>0.5</v>
      </c>
      <c r="S13" s="745">
        <f>+AVERAGE(K13:K13)</f>
        <v>1</v>
      </c>
      <c r="T13" s="746" t="e">
        <f>+AVERAGE(L13:L13)</f>
        <v>#DIV/0!</v>
      </c>
      <c r="U13" s="747"/>
      <c r="V13" s="745">
        <f>+R13*$C$13</f>
        <v>0.1</v>
      </c>
      <c r="W13" s="745">
        <f>+S13*$C$13</f>
        <v>0.2</v>
      </c>
      <c r="X13" s="746" t="e">
        <f>+T13*$C$13</f>
        <v>#DIV/0!</v>
      </c>
      <c r="Y13" s="618"/>
      <c r="Z13" s="546">
        <f t="shared" ref="Z13:AB14" si="0">+V13/N13</f>
        <v>1</v>
      </c>
      <c r="AA13" s="909">
        <f t="shared" si="0"/>
        <v>1</v>
      </c>
      <c r="AB13" s="907" t="e">
        <f t="shared" si="0"/>
        <v>#DIV/0!</v>
      </c>
    </row>
    <row r="14" spans="2:28" ht="76.5" x14ac:dyDescent="0.25">
      <c r="B14" s="1435" t="s">
        <v>195</v>
      </c>
      <c r="C14" s="1438">
        <v>0.15</v>
      </c>
      <c r="D14" s="498" t="s">
        <v>290</v>
      </c>
      <c r="E14" s="378">
        <v>0.25</v>
      </c>
      <c r="F14" s="378">
        <v>0.5</v>
      </c>
      <c r="G14" s="471">
        <v>0.75</v>
      </c>
      <c r="H14" s="926">
        <v>1</v>
      </c>
      <c r="I14" s="914">
        <v>0.25</v>
      </c>
      <c r="J14" s="571">
        <v>0.5</v>
      </c>
      <c r="K14" s="956">
        <v>0.749</v>
      </c>
      <c r="L14" s="172"/>
      <c r="M14" s="1441">
        <f>+AVERAGE(E14:E18)*$C$14</f>
        <v>3.7499999999999999E-2</v>
      </c>
      <c r="N14" s="1434">
        <f>+AVERAGE(F14:F18)*$C$14</f>
        <v>6.7500000000000004E-2</v>
      </c>
      <c r="O14" s="1434">
        <f>+AVERAGE(G14:G18)*$C$14</f>
        <v>0.105</v>
      </c>
      <c r="P14" s="1445">
        <f>+AVERAGE(H14:H18)*$C$14</f>
        <v>0.15</v>
      </c>
      <c r="Q14" s="1396">
        <f>+AVERAGE(I14:I18)</f>
        <v>0.25</v>
      </c>
      <c r="R14" s="1394">
        <f>+AVERAGE(J14:J18)</f>
        <v>0.45</v>
      </c>
      <c r="S14" s="1394">
        <f>+AVERAGE(K14:K18)</f>
        <v>0.69979999999999998</v>
      </c>
      <c r="T14" s="1447" t="e">
        <f>+AVERAGE(L14:L18)</f>
        <v>#DIV/0!</v>
      </c>
      <c r="U14" s="1450">
        <f>+Q14*$C$14</f>
        <v>3.7499999999999999E-2</v>
      </c>
      <c r="V14" s="1434">
        <f>+R14*$C$14</f>
        <v>6.7500000000000004E-2</v>
      </c>
      <c r="W14" s="1434">
        <f>+S14*$C$14</f>
        <v>0.10496999999999999</v>
      </c>
      <c r="X14" s="1452" t="e">
        <f>+T14*$C$14</f>
        <v>#DIV/0!</v>
      </c>
      <c r="Y14" s="1455">
        <f>+U14/M14</f>
        <v>1</v>
      </c>
      <c r="Z14" s="1458">
        <f t="shared" si="0"/>
        <v>1</v>
      </c>
      <c r="AA14" s="1460">
        <f t="shared" si="0"/>
        <v>0.99971428571428567</v>
      </c>
      <c r="AB14" s="1463" t="e">
        <f t="shared" si="0"/>
        <v>#DIV/0!</v>
      </c>
    </row>
    <row r="15" spans="2:28" ht="63.75" x14ac:dyDescent="0.25">
      <c r="B15" s="1436"/>
      <c r="C15" s="1439"/>
      <c r="D15" s="494" t="s">
        <v>196</v>
      </c>
      <c r="E15" s="328">
        <v>0.25</v>
      </c>
      <c r="F15" s="328">
        <v>0.5</v>
      </c>
      <c r="G15" s="473">
        <v>0.75</v>
      </c>
      <c r="H15" s="913">
        <v>1</v>
      </c>
      <c r="I15" s="914">
        <v>0.25</v>
      </c>
      <c r="J15" s="468">
        <v>0.5</v>
      </c>
      <c r="K15" s="953">
        <v>0.75</v>
      </c>
      <c r="L15" s="495"/>
      <c r="M15" s="1442"/>
      <c r="N15" s="1180"/>
      <c r="O15" s="1180"/>
      <c r="P15" s="1308"/>
      <c r="Q15" s="1311"/>
      <c r="R15" s="1103"/>
      <c r="S15" s="1103"/>
      <c r="T15" s="1448"/>
      <c r="U15" s="1305"/>
      <c r="V15" s="1180"/>
      <c r="W15" s="1180"/>
      <c r="X15" s="1453"/>
      <c r="Y15" s="1456"/>
      <c r="Z15" s="1186"/>
      <c r="AA15" s="1461"/>
      <c r="AB15" s="1464"/>
    </row>
    <row r="16" spans="2:28" ht="102" x14ac:dyDescent="0.25">
      <c r="B16" s="1436"/>
      <c r="C16" s="1439"/>
      <c r="D16" s="499" t="s">
        <v>197</v>
      </c>
      <c r="E16" s="328">
        <v>0.25</v>
      </c>
      <c r="F16" s="328">
        <v>0.5</v>
      </c>
      <c r="G16" s="473">
        <v>0.75</v>
      </c>
      <c r="H16" s="913">
        <v>1</v>
      </c>
      <c r="I16" s="914">
        <v>0.25</v>
      </c>
      <c r="J16" s="468">
        <v>0.5</v>
      </c>
      <c r="K16" s="953">
        <v>0.75</v>
      </c>
      <c r="L16" s="495"/>
      <c r="M16" s="1442"/>
      <c r="N16" s="1180"/>
      <c r="O16" s="1180"/>
      <c r="P16" s="1308"/>
      <c r="Q16" s="1311"/>
      <c r="R16" s="1103"/>
      <c r="S16" s="1103"/>
      <c r="T16" s="1448"/>
      <c r="U16" s="1305"/>
      <c r="V16" s="1180"/>
      <c r="W16" s="1180"/>
      <c r="X16" s="1453"/>
      <c r="Y16" s="1456"/>
      <c r="Z16" s="1186"/>
      <c r="AA16" s="1461"/>
      <c r="AB16" s="1464"/>
    </row>
    <row r="17" spans="2:28" ht="72" customHeight="1" x14ac:dyDescent="0.25">
      <c r="B17" s="1436"/>
      <c r="C17" s="1439"/>
      <c r="D17" s="382" t="s">
        <v>291</v>
      </c>
      <c r="E17" s="328"/>
      <c r="F17" s="328">
        <v>0.25</v>
      </c>
      <c r="G17" s="473">
        <v>0.5</v>
      </c>
      <c r="H17" s="913">
        <v>1</v>
      </c>
      <c r="I17" s="927"/>
      <c r="J17" s="468">
        <v>0.25</v>
      </c>
      <c r="K17" s="953">
        <v>0.5</v>
      </c>
      <c r="L17" s="495"/>
      <c r="M17" s="1442"/>
      <c r="N17" s="1180"/>
      <c r="O17" s="1180"/>
      <c r="P17" s="1308"/>
      <c r="Q17" s="1311"/>
      <c r="R17" s="1103"/>
      <c r="S17" s="1103"/>
      <c r="T17" s="1448"/>
      <c r="U17" s="1305"/>
      <c r="V17" s="1180"/>
      <c r="W17" s="1180"/>
      <c r="X17" s="1453"/>
      <c r="Y17" s="1456"/>
      <c r="Z17" s="1186"/>
      <c r="AA17" s="1461"/>
      <c r="AB17" s="1464"/>
    </row>
    <row r="18" spans="2:28" ht="66" customHeight="1" thickBot="1" x14ac:dyDescent="0.3">
      <c r="B18" s="1437"/>
      <c r="C18" s="1440"/>
      <c r="D18" s="500" t="s">
        <v>292</v>
      </c>
      <c r="E18" s="380">
        <v>0.25</v>
      </c>
      <c r="F18" s="380">
        <v>0.5</v>
      </c>
      <c r="G18" s="928">
        <v>0.75</v>
      </c>
      <c r="H18" s="929">
        <v>1</v>
      </c>
      <c r="I18" s="914">
        <v>0.25</v>
      </c>
      <c r="J18" s="564">
        <v>0.5</v>
      </c>
      <c r="K18" s="955">
        <v>0.75</v>
      </c>
      <c r="L18" s="497"/>
      <c r="M18" s="1443"/>
      <c r="N18" s="1444"/>
      <c r="O18" s="1444"/>
      <c r="P18" s="1446"/>
      <c r="Q18" s="1385"/>
      <c r="R18" s="1383"/>
      <c r="S18" s="1383"/>
      <c r="T18" s="1449"/>
      <c r="U18" s="1451"/>
      <c r="V18" s="1444"/>
      <c r="W18" s="1444"/>
      <c r="X18" s="1454"/>
      <c r="Y18" s="1457"/>
      <c r="Z18" s="1459"/>
      <c r="AA18" s="1462"/>
      <c r="AB18" s="1465"/>
    </row>
    <row r="19" spans="2:28" ht="105.75" customHeight="1" x14ac:dyDescent="0.25">
      <c r="B19" s="1435" t="s">
        <v>198</v>
      </c>
      <c r="C19" s="1438">
        <v>0.15</v>
      </c>
      <c r="D19" s="498" t="s">
        <v>293</v>
      </c>
      <c r="E19" s="381">
        <v>0.25</v>
      </c>
      <c r="F19" s="381">
        <v>0.5</v>
      </c>
      <c r="G19" s="930">
        <v>0.75</v>
      </c>
      <c r="H19" s="931">
        <v>1</v>
      </c>
      <c r="I19" s="932">
        <v>0.24</v>
      </c>
      <c r="J19" s="933">
        <v>0.49</v>
      </c>
      <c r="K19" s="956">
        <v>0.74</v>
      </c>
      <c r="L19" s="172"/>
      <c r="M19" s="1441">
        <f>+AVERAGE(E19:E21)*$C$19</f>
        <v>1.7499999999999998E-2</v>
      </c>
      <c r="N19" s="1434">
        <f>+AVERAGE(F19:F21)*$C$19</f>
        <v>4.4999999999999998E-2</v>
      </c>
      <c r="O19" s="1434">
        <f>+AVERAGE(G19:G21)*$C$19</f>
        <v>8.7500000000000008E-2</v>
      </c>
      <c r="P19" s="1445">
        <f>+AVERAGE(H19:H21)*$C$19</f>
        <v>0.15</v>
      </c>
      <c r="Q19" s="1396">
        <f>+AVERAGE(I19:I21)</f>
        <v>0.10726666666666666</v>
      </c>
      <c r="R19" s="1394">
        <f>+AVERAGE(J19:J21)</f>
        <v>0.32326666666666665</v>
      </c>
      <c r="S19" s="1394">
        <f>+AVERAGE(K19:K21)</f>
        <v>0.49066666666666664</v>
      </c>
      <c r="T19" s="1395" t="e">
        <f>+AVERAGE(L19:L21)</f>
        <v>#DIV/0!</v>
      </c>
      <c r="U19" s="1396">
        <f>+Q19*$C$19</f>
        <v>1.609E-2</v>
      </c>
      <c r="V19" s="1394">
        <f>+R19*$C$19</f>
        <v>4.8489999999999998E-2</v>
      </c>
      <c r="W19" s="1434">
        <f>+S19*C19</f>
        <v>7.3599999999999999E-2</v>
      </c>
      <c r="X19" s="1395" t="e">
        <f>+T19*$C$19</f>
        <v>#DIV/0!</v>
      </c>
      <c r="Y19" s="1397">
        <f>+U19/M19</f>
        <v>0.91942857142857148</v>
      </c>
      <c r="Z19" s="1386">
        <f>+V19/N19</f>
        <v>1.0775555555555556</v>
      </c>
      <c r="AA19" s="1428">
        <f>+W19/O19</f>
        <v>0.84114285714285708</v>
      </c>
      <c r="AB19" s="1431" t="e">
        <f>+X19/P19</f>
        <v>#DIV/0!</v>
      </c>
    </row>
    <row r="20" spans="2:28" ht="125.25" customHeight="1" x14ac:dyDescent="0.25">
      <c r="B20" s="1436"/>
      <c r="C20" s="1439"/>
      <c r="D20" s="382" t="s">
        <v>294</v>
      </c>
      <c r="E20" s="330">
        <v>0.05</v>
      </c>
      <c r="F20" s="330">
        <v>0.2</v>
      </c>
      <c r="G20" s="934">
        <v>0.5</v>
      </c>
      <c r="H20" s="935">
        <v>1</v>
      </c>
      <c r="I20" s="932">
        <v>4.8399999999999999E-2</v>
      </c>
      <c r="J20" s="468">
        <v>0.24840000000000001</v>
      </c>
      <c r="K20" s="917">
        <v>0.42299999999999999</v>
      </c>
      <c r="L20" s="495"/>
      <c r="M20" s="1442"/>
      <c r="N20" s="1180"/>
      <c r="O20" s="1180"/>
      <c r="P20" s="1308"/>
      <c r="Q20" s="1311"/>
      <c r="R20" s="1103"/>
      <c r="S20" s="1103"/>
      <c r="T20" s="1315"/>
      <c r="U20" s="1311"/>
      <c r="V20" s="1103"/>
      <c r="W20" s="1180"/>
      <c r="X20" s="1315"/>
      <c r="Y20" s="1321"/>
      <c r="Z20" s="1111"/>
      <c r="AA20" s="1429"/>
      <c r="AB20" s="1432"/>
    </row>
    <row r="21" spans="2:28" ht="102.75" thickBot="1" x14ac:dyDescent="0.3">
      <c r="B21" s="1437"/>
      <c r="C21" s="1440"/>
      <c r="D21" s="383" t="s">
        <v>295</v>
      </c>
      <c r="E21" s="380">
        <v>0.05</v>
      </c>
      <c r="F21" s="380">
        <v>0.2</v>
      </c>
      <c r="G21" s="928">
        <v>0.5</v>
      </c>
      <c r="H21" s="929">
        <v>1</v>
      </c>
      <c r="I21" s="932">
        <v>3.3399999999999999E-2</v>
      </c>
      <c r="J21" s="564">
        <v>0.23139999999999999</v>
      </c>
      <c r="K21" s="936">
        <v>0.309</v>
      </c>
      <c r="L21" s="497"/>
      <c r="M21" s="1443"/>
      <c r="N21" s="1444"/>
      <c r="O21" s="1444"/>
      <c r="P21" s="1446"/>
      <c r="Q21" s="1385"/>
      <c r="R21" s="1383"/>
      <c r="S21" s="1383"/>
      <c r="T21" s="1384"/>
      <c r="U21" s="1385"/>
      <c r="V21" s="1383"/>
      <c r="W21" s="1180"/>
      <c r="X21" s="1384"/>
      <c r="Y21" s="1388"/>
      <c r="Z21" s="1387"/>
      <c r="AA21" s="1430"/>
      <c r="AB21" s="1433"/>
    </row>
    <row r="22" spans="2:28" ht="70.5" customHeight="1" x14ac:dyDescent="0.25">
      <c r="B22" s="1435" t="s">
        <v>199</v>
      </c>
      <c r="C22" s="1438">
        <v>0.15</v>
      </c>
      <c r="D22" s="498" t="s">
        <v>296</v>
      </c>
      <c r="E22" s="381">
        <v>0.25</v>
      </c>
      <c r="F22" s="381">
        <v>0.5</v>
      </c>
      <c r="G22" s="930">
        <v>0.75</v>
      </c>
      <c r="H22" s="931">
        <v>1</v>
      </c>
      <c r="I22" s="937">
        <v>0.25</v>
      </c>
      <c r="J22" s="571">
        <v>0.5</v>
      </c>
      <c r="K22" s="956">
        <v>0.75</v>
      </c>
      <c r="L22" s="172"/>
      <c r="M22" s="1441">
        <f>+AVERAGE(E22:E24)*$C$22</f>
        <v>3.3750000000000002E-2</v>
      </c>
      <c r="N22" s="1434">
        <f>+AVERAGE(F22:F24)*$C$22</f>
        <v>9.4999999999999987E-2</v>
      </c>
      <c r="O22" s="1434">
        <f>+AVERAGE(G22:G24)*$C$22</f>
        <v>0.12250000000000001</v>
      </c>
      <c r="P22" s="1445">
        <f>+AVERAGE(H22:H24)*$C$22</f>
        <v>0.15</v>
      </c>
      <c r="Q22" s="1396">
        <f>+AVERAGE(I22:I24)</f>
        <v>0.22500000000000001</v>
      </c>
      <c r="R22" s="1394">
        <f>+AVERAGE(J22:J24)</f>
        <v>0.6333333333333333</v>
      </c>
      <c r="S22" s="1394">
        <f>+AVERAGE(K22:K24)</f>
        <v>0.81666666666666676</v>
      </c>
      <c r="T22" s="1395" t="e">
        <f>+AVERAGE(L22:L24)</f>
        <v>#DIV/0!</v>
      </c>
      <c r="U22" s="1396">
        <f>+Q22*$C$22</f>
        <v>3.3750000000000002E-2</v>
      </c>
      <c r="V22" s="1394">
        <f>+R22*$C$22</f>
        <v>9.4999999999999987E-2</v>
      </c>
      <c r="W22" s="1394">
        <f>+S22*$C$22</f>
        <v>0.12250000000000001</v>
      </c>
      <c r="X22" s="1395" t="e">
        <f>+T22*$C$22</f>
        <v>#DIV/0!</v>
      </c>
      <c r="Y22" s="1397">
        <f>+U22/M22</f>
        <v>1</v>
      </c>
      <c r="Z22" s="1386">
        <f>+V22/N22</f>
        <v>1</v>
      </c>
      <c r="AA22" s="1428">
        <f>+W22/O22</f>
        <v>1</v>
      </c>
      <c r="AB22" s="1431" t="e">
        <f>+X22/P22</f>
        <v>#DIV/0!</v>
      </c>
    </row>
    <row r="23" spans="2:28" ht="63.75" x14ac:dyDescent="0.25">
      <c r="B23" s="1436"/>
      <c r="C23" s="1439"/>
      <c r="D23" s="382" t="s">
        <v>297</v>
      </c>
      <c r="E23" s="330">
        <v>0.2</v>
      </c>
      <c r="F23" s="330">
        <v>0.4</v>
      </c>
      <c r="G23" s="934">
        <v>0.7</v>
      </c>
      <c r="H23" s="935">
        <v>1</v>
      </c>
      <c r="I23" s="937">
        <v>0.2</v>
      </c>
      <c r="J23" s="468">
        <v>0.4</v>
      </c>
      <c r="K23" s="953">
        <v>0.7</v>
      </c>
      <c r="L23" s="495"/>
      <c r="M23" s="1442"/>
      <c r="N23" s="1180"/>
      <c r="O23" s="1180"/>
      <c r="P23" s="1308"/>
      <c r="Q23" s="1311"/>
      <c r="R23" s="1103"/>
      <c r="S23" s="1103"/>
      <c r="T23" s="1315"/>
      <c r="U23" s="1311"/>
      <c r="V23" s="1103"/>
      <c r="W23" s="1103"/>
      <c r="X23" s="1315"/>
      <c r="Y23" s="1321"/>
      <c r="Z23" s="1111"/>
      <c r="AA23" s="1429"/>
      <c r="AB23" s="1432"/>
    </row>
    <row r="24" spans="2:28" ht="85.5" customHeight="1" thickBot="1" x14ac:dyDescent="0.3">
      <c r="B24" s="1437"/>
      <c r="C24" s="1440"/>
      <c r="D24" s="496" t="s">
        <v>298</v>
      </c>
      <c r="E24" s="380"/>
      <c r="F24" s="380">
        <v>1</v>
      </c>
      <c r="G24" s="928">
        <v>1</v>
      </c>
      <c r="H24" s="929">
        <v>1</v>
      </c>
      <c r="I24" s="938"/>
      <c r="J24" s="564">
        <v>1</v>
      </c>
      <c r="K24" s="955">
        <v>1</v>
      </c>
      <c r="L24" s="497"/>
      <c r="M24" s="1443"/>
      <c r="N24" s="1444"/>
      <c r="O24" s="1444"/>
      <c r="P24" s="1446"/>
      <c r="Q24" s="1385"/>
      <c r="R24" s="1383"/>
      <c r="S24" s="1383"/>
      <c r="T24" s="1384"/>
      <c r="U24" s="1385"/>
      <c r="V24" s="1383"/>
      <c r="W24" s="1383"/>
      <c r="X24" s="1384"/>
      <c r="Y24" s="1388"/>
      <c r="Z24" s="1387"/>
      <c r="AA24" s="1430"/>
      <c r="AB24" s="1433"/>
    </row>
    <row r="25" spans="2:28" ht="133.5" customHeight="1" thickBot="1" x14ac:dyDescent="0.3">
      <c r="B25" s="1435" t="s">
        <v>200</v>
      </c>
      <c r="C25" s="1438">
        <v>0.1</v>
      </c>
      <c r="D25" s="501" t="s">
        <v>299</v>
      </c>
      <c r="E25" s="381">
        <v>0.25</v>
      </c>
      <c r="F25" s="381">
        <v>0.5</v>
      </c>
      <c r="G25" s="930">
        <v>0.75</v>
      </c>
      <c r="H25" s="931">
        <v>1</v>
      </c>
      <c r="I25" s="939">
        <v>0.25</v>
      </c>
      <c r="J25" s="571">
        <v>0.5</v>
      </c>
      <c r="K25" s="956">
        <v>0.75</v>
      </c>
      <c r="L25" s="172"/>
      <c r="M25" s="1441">
        <f>+AVERAGE(E25:E26)*$C$25</f>
        <v>2.5000000000000001E-2</v>
      </c>
      <c r="N25" s="1434">
        <f>+AVERAGE(F25:F26)*$C$25</f>
        <v>0.05</v>
      </c>
      <c r="O25" s="1434">
        <f>+AVERAGE(G25:G25)*$C$25</f>
        <v>7.5000000000000011E-2</v>
      </c>
      <c r="P25" s="1445">
        <f>+AVERAGE(H25:H26)*$C$25</f>
        <v>0.1</v>
      </c>
      <c r="Q25" s="1396">
        <f>+AVERAGE(I25:I26)</f>
        <v>0.25</v>
      </c>
      <c r="R25" s="1394">
        <f>+AVERAGE(J25:J26)</f>
        <v>0.5</v>
      </c>
      <c r="S25" s="1394">
        <f>+AVERAGE(K25:K25)</f>
        <v>0.75</v>
      </c>
      <c r="T25" s="1395" t="e">
        <f>+AVERAGE(L25:L26)</f>
        <v>#DIV/0!</v>
      </c>
      <c r="U25" s="1396">
        <f>+Q25*$C$25</f>
        <v>2.5000000000000001E-2</v>
      </c>
      <c r="V25" s="1394">
        <f>+R25*$C$25</f>
        <v>0.05</v>
      </c>
      <c r="W25" s="1394">
        <f>+S25*$C$25</f>
        <v>7.5000000000000011E-2</v>
      </c>
      <c r="X25" s="1395" t="e">
        <f>+T25*$C$25</f>
        <v>#DIV/0!</v>
      </c>
      <c r="Y25" s="1397">
        <f>+U25/M25</f>
        <v>1</v>
      </c>
      <c r="Z25" s="1386">
        <f>+V25/N25</f>
        <v>1</v>
      </c>
      <c r="AA25" s="1428">
        <f>+W25/O25</f>
        <v>1</v>
      </c>
      <c r="AB25" s="1431" t="e">
        <f>+X25/P25</f>
        <v>#DIV/0!</v>
      </c>
    </row>
    <row r="26" spans="2:28" ht="88.5" hidden="1" customHeight="1" thickBot="1" x14ac:dyDescent="0.3">
      <c r="B26" s="1436"/>
      <c r="C26" s="1439"/>
      <c r="D26" s="735" t="s">
        <v>303</v>
      </c>
      <c r="E26" s="330"/>
      <c r="F26" s="330"/>
      <c r="G26" s="934">
        <v>0.5</v>
      </c>
      <c r="H26" s="940">
        <v>1</v>
      </c>
      <c r="I26" s="941"/>
      <c r="J26" s="464"/>
      <c r="K26" s="953"/>
      <c r="L26" s="495"/>
      <c r="M26" s="1442"/>
      <c r="N26" s="1180"/>
      <c r="O26" s="1180"/>
      <c r="P26" s="1308"/>
      <c r="Q26" s="1311"/>
      <c r="R26" s="1103"/>
      <c r="S26" s="1103"/>
      <c r="T26" s="1315"/>
      <c r="U26" s="1311"/>
      <c r="V26" s="1103"/>
      <c r="W26" s="1103"/>
      <c r="X26" s="1315"/>
      <c r="Y26" s="1321"/>
      <c r="Z26" s="1111"/>
      <c r="AA26" s="1429"/>
      <c r="AB26" s="1432"/>
    </row>
    <row r="27" spans="2:28" ht="141.75" hidden="1" customHeight="1" thickBot="1" x14ac:dyDescent="0.3">
      <c r="B27" s="1437"/>
      <c r="C27" s="1440"/>
      <c r="D27" s="527" t="s">
        <v>300</v>
      </c>
      <c r="E27" s="379"/>
      <c r="F27" s="379"/>
      <c r="G27" s="475"/>
      <c r="H27" s="922"/>
      <c r="I27" s="942"/>
      <c r="J27" s="563"/>
      <c r="K27" s="955"/>
      <c r="L27" s="497"/>
      <c r="M27" s="1443"/>
      <c r="N27" s="1444"/>
      <c r="O27" s="1444"/>
      <c r="P27" s="1446"/>
      <c r="Q27" s="1385"/>
      <c r="R27" s="1383"/>
      <c r="S27" s="1383"/>
      <c r="T27" s="1384"/>
      <c r="U27" s="1385"/>
      <c r="V27" s="1383"/>
      <c r="W27" s="1383"/>
      <c r="X27" s="1384"/>
      <c r="Y27" s="1388"/>
      <c r="Z27" s="1387"/>
      <c r="AA27" s="1430"/>
      <c r="AB27" s="1433"/>
    </row>
    <row r="28" spans="2:28" ht="76.5" x14ac:dyDescent="0.25">
      <c r="B28" s="1435" t="s">
        <v>201</v>
      </c>
      <c r="C28" s="1438">
        <v>0.05</v>
      </c>
      <c r="D28" s="744" t="s">
        <v>301</v>
      </c>
      <c r="E28" s="502"/>
      <c r="F28" s="502"/>
      <c r="G28" s="943">
        <v>0.25</v>
      </c>
      <c r="H28" s="944">
        <v>1</v>
      </c>
      <c r="I28" s="945"/>
      <c r="J28" s="946"/>
      <c r="K28" s="957">
        <v>0.25</v>
      </c>
      <c r="L28" s="503"/>
      <c r="M28" s="1441">
        <f>+AVERAGE(E28:E29)*$C$28</f>
        <v>1.2500000000000001E-2</v>
      </c>
      <c r="N28" s="1434">
        <f>+AVERAGE(F28:F29)*$C$28</f>
        <v>2.5000000000000001E-2</v>
      </c>
      <c r="O28" s="1434">
        <f>+AVERAGE(G28:G29)*$C$28</f>
        <v>2.5000000000000001E-2</v>
      </c>
      <c r="P28" s="1445">
        <f>+AVERAGE(H28:H29)*$C$28</f>
        <v>0.05</v>
      </c>
      <c r="Q28" s="1396">
        <f>+AVERAGE(I28:I29)</f>
        <v>0.25</v>
      </c>
      <c r="R28" s="1394">
        <f>+AVERAGE(J28:J29)</f>
        <v>0.5</v>
      </c>
      <c r="S28" s="1394">
        <f>+AVERAGE(K28:K29)</f>
        <v>0.5</v>
      </c>
      <c r="T28" s="1395" t="e">
        <f>+AVERAGE(L28:L29)</f>
        <v>#DIV/0!</v>
      </c>
      <c r="U28" s="1396">
        <f>+Q28*$C$28</f>
        <v>1.2500000000000001E-2</v>
      </c>
      <c r="V28" s="1394">
        <f>+R28*$C$28</f>
        <v>2.5000000000000001E-2</v>
      </c>
      <c r="W28" s="1394">
        <f>+S28*$C$28</f>
        <v>2.5000000000000001E-2</v>
      </c>
      <c r="X28" s="1395" t="e">
        <f>+T28*$C$28</f>
        <v>#DIV/0!</v>
      </c>
      <c r="Y28" s="1397">
        <f>+U28/M28</f>
        <v>1</v>
      </c>
      <c r="Z28" s="1386">
        <f>+V28/N28</f>
        <v>1</v>
      </c>
      <c r="AA28" s="1428">
        <f>+W28/O28</f>
        <v>1</v>
      </c>
      <c r="AB28" s="1431" t="e">
        <f>+X28/P28</f>
        <v>#DIV/0!</v>
      </c>
    </row>
    <row r="29" spans="2:28" ht="102.75" thickBot="1" x14ac:dyDescent="0.3">
      <c r="B29" s="1436"/>
      <c r="C29" s="1439"/>
      <c r="D29" s="494" t="s">
        <v>302</v>
      </c>
      <c r="E29" s="328">
        <v>0.25</v>
      </c>
      <c r="F29" s="328">
        <v>0.5</v>
      </c>
      <c r="G29" s="473">
        <v>0.75</v>
      </c>
      <c r="H29" s="913">
        <v>1</v>
      </c>
      <c r="I29" s="947">
        <v>0.25</v>
      </c>
      <c r="J29" s="468">
        <v>0.5</v>
      </c>
      <c r="K29" s="953">
        <v>0.75</v>
      </c>
      <c r="L29" s="495"/>
      <c r="M29" s="1443"/>
      <c r="N29" s="1444"/>
      <c r="O29" s="1444"/>
      <c r="P29" s="1446"/>
      <c r="Q29" s="1311"/>
      <c r="R29" s="1103"/>
      <c r="S29" s="1103"/>
      <c r="T29" s="1315"/>
      <c r="U29" s="1311"/>
      <c r="V29" s="1103"/>
      <c r="W29" s="1103"/>
      <c r="X29" s="1315"/>
      <c r="Y29" s="1321"/>
      <c r="Z29" s="1111"/>
      <c r="AA29" s="1429"/>
      <c r="AB29" s="1432"/>
    </row>
    <row r="30" spans="2:28" s="615" customFormat="1" ht="31.5" customHeight="1" thickBot="1" x14ac:dyDescent="0.4">
      <c r="B30" s="643" t="s">
        <v>12</v>
      </c>
      <c r="C30" s="644">
        <f>SUM(C7:C29)</f>
        <v>1</v>
      </c>
      <c r="D30" s="645"/>
      <c r="E30" s="646"/>
      <c r="F30" s="647"/>
      <c r="G30" s="647"/>
      <c r="H30" s="648"/>
      <c r="I30" s="646"/>
      <c r="J30" s="647"/>
      <c r="K30" s="647"/>
      <c r="L30" s="648"/>
      <c r="M30" s="646">
        <f>SUM(M7:M29)</f>
        <v>0.17624999999999999</v>
      </c>
      <c r="N30" s="647">
        <f>SUM(N7:N29)</f>
        <v>0.47609999999999997</v>
      </c>
      <c r="O30" s="647">
        <f>SUM(O7:O29)</f>
        <v>0.7406666666666667</v>
      </c>
      <c r="P30" s="648">
        <f>SUM(P7:P29)</f>
        <v>1</v>
      </c>
      <c r="Q30" s="646"/>
      <c r="R30" s="647"/>
      <c r="S30" s="647"/>
      <c r="T30" s="648"/>
      <c r="U30" s="646">
        <f>SUM(U7:U29)</f>
        <v>0.16859000000000002</v>
      </c>
      <c r="V30" s="647">
        <f>SUM(V7:V29)</f>
        <v>0.47973999999999994</v>
      </c>
      <c r="W30" s="647">
        <f>+W7+W13+W14+W19+W22+W25+W28</f>
        <v>0.7200700000000001</v>
      </c>
      <c r="X30" s="648" t="e">
        <f>SUM(X7:X29)</f>
        <v>#DIV/0!</v>
      </c>
      <c r="Y30" s="659">
        <f>+U30/M30</f>
        <v>0.95653900709219875</v>
      </c>
      <c r="Z30" s="653">
        <f>+V30/N30</f>
        <v>1.0076454526360008</v>
      </c>
      <c r="AA30" s="653">
        <f>+W30/O30</f>
        <v>0.97219171917191727</v>
      </c>
      <c r="AB30" s="908" t="e">
        <f>+X30/P30</f>
        <v>#DIV/0!</v>
      </c>
    </row>
    <row r="31" spans="2:28" ht="15.75" thickTop="1" x14ac:dyDescent="0.25"/>
    <row r="32" spans="2:28" ht="24.75" customHeight="1" x14ac:dyDescent="0.25">
      <c r="F32" s="71"/>
      <c r="H32" s="528"/>
      <c r="J32" s="515">
        <v>0.1111111111111111</v>
      </c>
      <c r="K32" s="958">
        <v>0</v>
      </c>
      <c r="N32" s="139">
        <v>2</v>
      </c>
    </row>
    <row r="33" spans="1:23" ht="24.75" customHeight="1" x14ac:dyDescent="0.25">
      <c r="F33" s="71"/>
      <c r="H33" s="528"/>
      <c r="J33" s="516">
        <v>0.77777777777777779</v>
      </c>
      <c r="K33" s="949">
        <v>0.85</v>
      </c>
      <c r="N33" s="139">
        <v>14</v>
      </c>
      <c r="O33" s="139">
        <v>17</v>
      </c>
    </row>
    <row r="34" spans="1:23" ht="24.75" customHeight="1" x14ac:dyDescent="0.25">
      <c r="F34" s="71"/>
      <c r="H34" s="528"/>
      <c r="J34" s="519">
        <v>0.1111111111111111</v>
      </c>
      <c r="K34" s="959">
        <v>0.15</v>
      </c>
      <c r="N34" s="139">
        <v>2</v>
      </c>
      <c r="O34" s="139">
        <v>3</v>
      </c>
      <c r="W34" s="736"/>
    </row>
    <row r="35" spans="1:23" ht="23.25" customHeight="1" x14ac:dyDescent="0.25">
      <c r="A35" s="276"/>
      <c r="B35" s="276"/>
      <c r="C35" s="518"/>
      <c r="D35" s="276"/>
      <c r="E35" s="276"/>
      <c r="F35" s="276"/>
      <c r="G35" s="276"/>
      <c r="H35" s="528"/>
      <c r="J35" s="520">
        <f>SUM(J32:J34)</f>
        <v>1</v>
      </c>
      <c r="K35" s="960">
        <f>SUM(K32:K34)</f>
        <v>1</v>
      </c>
      <c r="N35" s="139">
        <f>SUM(N32:N34)</f>
        <v>18</v>
      </c>
      <c r="O35" s="139">
        <f>SUM(O33:O34)</f>
        <v>20</v>
      </c>
    </row>
  </sheetData>
  <mergeCells count="118">
    <mergeCell ref="R19:R21"/>
    <mergeCell ref="S19:S21"/>
    <mergeCell ref="T19:T21"/>
    <mergeCell ref="U19:U21"/>
    <mergeCell ref="V19:V21"/>
    <mergeCell ref="T25:T27"/>
    <mergeCell ref="U25:U27"/>
    <mergeCell ref="V25:V27"/>
    <mergeCell ref="N28:N29"/>
    <mergeCell ref="O28:O29"/>
    <mergeCell ref="P28:P29"/>
    <mergeCell ref="Q28:Q29"/>
    <mergeCell ref="R25:R27"/>
    <mergeCell ref="S25:S27"/>
    <mergeCell ref="M19:M21"/>
    <mergeCell ref="N19:N21"/>
    <mergeCell ref="O19:O21"/>
    <mergeCell ref="P19:P21"/>
    <mergeCell ref="Q19:Q21"/>
    <mergeCell ref="B19:B21"/>
    <mergeCell ref="C19:C21"/>
    <mergeCell ref="B28:B29"/>
    <mergeCell ref="C28:C29"/>
    <mergeCell ref="M28:M29"/>
    <mergeCell ref="B25:B27"/>
    <mergeCell ref="C25:C27"/>
    <mergeCell ref="M25:M27"/>
    <mergeCell ref="N25:N27"/>
    <mergeCell ref="O25:O27"/>
    <mergeCell ref="P25:P27"/>
    <mergeCell ref="Q25:Q27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B7:B12"/>
    <mergeCell ref="C7:C12"/>
    <mergeCell ref="M7:M12"/>
    <mergeCell ref="N7:N12"/>
    <mergeCell ref="O7:O12"/>
    <mergeCell ref="P7:P12"/>
    <mergeCell ref="Z7:Z12"/>
    <mergeCell ref="AA7:AA12"/>
    <mergeCell ref="AB7:AB12"/>
    <mergeCell ref="Q7:Q12"/>
    <mergeCell ref="R7:R12"/>
    <mergeCell ref="S7:S12"/>
    <mergeCell ref="T7:T12"/>
    <mergeCell ref="U7:U12"/>
    <mergeCell ref="V7:V12"/>
    <mergeCell ref="W7:W12"/>
    <mergeCell ref="X7:X12"/>
    <mergeCell ref="Y7:Y12"/>
    <mergeCell ref="T14:T18"/>
    <mergeCell ref="U14:U18"/>
    <mergeCell ref="V14:V18"/>
    <mergeCell ref="W14:W18"/>
    <mergeCell ref="X14:X18"/>
    <mergeCell ref="Y14:Y18"/>
    <mergeCell ref="Z14:Z18"/>
    <mergeCell ref="AA14:AA18"/>
    <mergeCell ref="AB14:AB18"/>
    <mergeCell ref="B14:B18"/>
    <mergeCell ref="C14:C18"/>
    <mergeCell ref="M14:M18"/>
    <mergeCell ref="N14:N18"/>
    <mergeCell ref="O14:O18"/>
    <mergeCell ref="P14:P18"/>
    <mergeCell ref="Q14:Q18"/>
    <mergeCell ref="R14:R18"/>
    <mergeCell ref="S14:S18"/>
    <mergeCell ref="W19:W21"/>
    <mergeCell ref="X19:X21"/>
    <mergeCell ref="Y19:Y21"/>
    <mergeCell ref="Z19:Z21"/>
    <mergeCell ref="AA19:AA21"/>
    <mergeCell ref="AB19:AB21"/>
    <mergeCell ref="B22:B24"/>
    <mergeCell ref="C22:C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Y22:Y24"/>
    <mergeCell ref="Z22:Z24"/>
    <mergeCell ref="AA22:AA24"/>
    <mergeCell ref="AB22:AB24"/>
    <mergeCell ref="W25:W27"/>
    <mergeCell ref="X25:X27"/>
    <mergeCell ref="Y25:Y27"/>
    <mergeCell ref="Z25:Z27"/>
    <mergeCell ref="AA25:AA27"/>
    <mergeCell ref="AB25:AB27"/>
    <mergeCell ref="AA28:AA29"/>
    <mergeCell ref="AB28:AB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</mergeCells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AB19"/>
  <sheetViews>
    <sheetView topLeftCell="A6" zoomScale="80" zoomScaleNormal="80" workbookViewId="0">
      <selection activeCell="B3" sqref="B3:AB13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style="139" customWidth="1"/>
    <col min="4" max="4" width="36" customWidth="1"/>
    <col min="5" max="5" width="14.28515625" hidden="1" customWidth="1"/>
    <col min="6" max="6" width="11.42578125" hidden="1" customWidth="1"/>
    <col min="7" max="7" width="11.42578125" customWidth="1"/>
    <col min="8" max="8" width="11.42578125" hidden="1" customWidth="1"/>
    <col min="9" max="9" width="14.85546875" hidden="1" customWidth="1"/>
    <col min="10" max="10" width="11.42578125" hidden="1" customWidth="1"/>
    <col min="11" max="11" width="11.42578125" customWidth="1"/>
    <col min="12" max="12" width="11.42578125" hidden="1" customWidth="1"/>
    <col min="13" max="13" width="20.140625" hidden="1" customWidth="1"/>
    <col min="14" max="14" width="25.42578125" hidden="1" customWidth="1"/>
    <col min="15" max="15" width="18.140625" customWidth="1"/>
    <col min="16" max="16" width="11.7109375" hidden="1" customWidth="1"/>
    <col min="17" max="17" width="18.42578125" hidden="1" customWidth="1"/>
    <col min="18" max="18" width="19" hidden="1" customWidth="1"/>
    <col min="19" max="19" width="15.5703125" customWidth="1"/>
    <col min="20" max="20" width="12.140625" hidden="1" customWidth="1"/>
    <col min="21" max="21" width="17.5703125" hidden="1" customWidth="1"/>
    <col min="22" max="22" width="20.42578125" hidden="1" customWidth="1"/>
    <col min="23" max="23" width="18.5703125" customWidth="1"/>
    <col min="24" max="24" width="12.28515625" hidden="1" customWidth="1"/>
    <col min="25" max="25" width="18.5703125" hidden="1" customWidth="1"/>
    <col min="26" max="26" width="17.5703125" hidden="1" customWidth="1"/>
    <col min="27" max="27" width="15.85546875" customWidth="1"/>
    <col min="28" max="28" width="9.28515625" hidden="1" customWidth="1"/>
  </cols>
  <sheetData>
    <row r="2" spans="2:28" ht="15.75" thickBot="1" x14ac:dyDescent="0.3"/>
    <row r="3" spans="2:28" ht="34.5" thickBot="1" x14ac:dyDescent="0.55000000000000004">
      <c r="B3" s="1173" t="s">
        <v>331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5"/>
    </row>
    <row r="4" spans="2:28" ht="19.5" customHeight="1" thickBot="1" x14ac:dyDescent="0.3"/>
    <row r="5" spans="2:28" ht="72" customHeight="1" thickTop="1" x14ac:dyDescent="0.25">
      <c r="B5" s="1505" t="s">
        <v>0</v>
      </c>
      <c r="C5" s="1507" t="s">
        <v>1</v>
      </c>
      <c r="D5" s="1098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056" t="s">
        <v>5</v>
      </c>
      <c r="R5" s="1056"/>
      <c r="S5" s="1056"/>
      <c r="T5" s="1056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ht="19.5" thickBot="1" x14ac:dyDescent="0.3">
      <c r="B6" s="1506"/>
      <c r="C6" s="1508"/>
      <c r="D6" s="1350"/>
      <c r="E6" s="637" t="s">
        <v>8</v>
      </c>
      <c r="F6" s="637" t="s">
        <v>9</v>
      </c>
      <c r="G6" s="637" t="s">
        <v>10</v>
      </c>
      <c r="H6" s="637" t="s">
        <v>11</v>
      </c>
      <c r="I6" s="637" t="s">
        <v>8</v>
      </c>
      <c r="J6" s="637" t="s">
        <v>9</v>
      </c>
      <c r="K6" s="637" t="s">
        <v>10</v>
      </c>
      <c r="L6" s="637" t="s">
        <v>11</v>
      </c>
      <c r="M6" s="637" t="s">
        <v>8</v>
      </c>
      <c r="N6" s="637" t="s">
        <v>9</v>
      </c>
      <c r="O6" s="637" t="s">
        <v>10</v>
      </c>
      <c r="P6" s="637" t="s">
        <v>11</v>
      </c>
      <c r="Q6" s="637" t="s">
        <v>8</v>
      </c>
      <c r="R6" s="637" t="s">
        <v>9</v>
      </c>
      <c r="S6" s="637" t="s">
        <v>10</v>
      </c>
      <c r="T6" s="637" t="s">
        <v>11</v>
      </c>
      <c r="U6" s="637" t="s">
        <v>8</v>
      </c>
      <c r="V6" s="637" t="s">
        <v>9</v>
      </c>
      <c r="W6" s="637" t="s">
        <v>10</v>
      </c>
      <c r="X6" s="637" t="s">
        <v>11</v>
      </c>
      <c r="Y6" s="637" t="s">
        <v>8</v>
      </c>
      <c r="Z6" s="674" t="s">
        <v>9</v>
      </c>
      <c r="AA6" s="674" t="s">
        <v>10</v>
      </c>
      <c r="AB6" s="681" t="s">
        <v>11</v>
      </c>
    </row>
    <row r="7" spans="2:28" s="71" customFormat="1" ht="38.25" customHeight="1" thickTop="1" thickBot="1" x14ac:dyDescent="0.3">
      <c r="B7" s="477" t="s">
        <v>150</v>
      </c>
      <c r="C7" s="478">
        <v>0.3</v>
      </c>
      <c r="D7" s="479" t="s">
        <v>151</v>
      </c>
      <c r="E7" s="480">
        <v>0.3</v>
      </c>
      <c r="F7" s="480">
        <v>0.55000000000000004</v>
      </c>
      <c r="G7" s="480">
        <v>0.8</v>
      </c>
      <c r="H7" s="480">
        <v>1</v>
      </c>
      <c r="I7" s="481">
        <v>0.3</v>
      </c>
      <c r="J7" s="481">
        <v>0.55000000000000004</v>
      </c>
      <c r="K7" s="481">
        <v>0.8</v>
      </c>
      <c r="L7" s="480"/>
      <c r="M7" s="542">
        <f>+AVERAGE(E7:E7)*$C$7</f>
        <v>0.09</v>
      </c>
      <c r="N7" s="542">
        <f>+AVERAGE(F7:F12)*$C$7</f>
        <v>0.15</v>
      </c>
      <c r="O7" s="542">
        <f>+AVERAGE(G7:G12)*$C$7</f>
        <v>0.22999999999999998</v>
      </c>
      <c r="P7" s="542">
        <f>+AVERAGE(H7:H12)*$C$7</f>
        <v>0.3</v>
      </c>
      <c r="Q7" s="542">
        <f>+AVERAGE(I7:I7)</f>
        <v>0.3</v>
      </c>
      <c r="R7" s="542">
        <f>+AVERAGE(J7:J12)</f>
        <v>0.43333333333333335</v>
      </c>
      <c r="S7" s="542">
        <f>+AVERAGE(K7:K12)</f>
        <v>0.76666666666666661</v>
      </c>
      <c r="T7" s="542" t="e">
        <f>+AVERAGE(L7:L12)</f>
        <v>#DIV/0!</v>
      </c>
      <c r="U7" s="542">
        <f>+Q7*$C$7</f>
        <v>0.09</v>
      </c>
      <c r="V7" s="542">
        <f>+R7*$C$7</f>
        <v>0.13</v>
      </c>
      <c r="W7" s="542">
        <f>+S7*$C$7</f>
        <v>0.22999999999999998</v>
      </c>
      <c r="X7" s="542" t="e">
        <f>+T7*$C$7</f>
        <v>#DIV/0!</v>
      </c>
      <c r="Y7" s="543">
        <f t="shared" ref="Y7:AB8" si="0">+U7/M7</f>
        <v>1</v>
      </c>
      <c r="Z7" s="962">
        <f t="shared" si="0"/>
        <v>0.8666666666666667</v>
      </c>
      <c r="AA7" s="543">
        <f t="shared" si="0"/>
        <v>1</v>
      </c>
      <c r="AB7" s="628" t="e">
        <f t="shared" si="0"/>
        <v>#DIV/0!</v>
      </c>
    </row>
    <row r="8" spans="2:28" s="71" customFormat="1" ht="37.5" customHeight="1" x14ac:dyDescent="0.25">
      <c r="B8" s="1435" t="s">
        <v>202</v>
      </c>
      <c r="C8" s="1502">
        <v>0.6</v>
      </c>
      <c r="D8" s="306" t="s">
        <v>152</v>
      </c>
      <c r="E8" s="471">
        <v>0.25</v>
      </c>
      <c r="F8" s="471">
        <v>0.5</v>
      </c>
      <c r="G8" s="471">
        <v>0.75</v>
      </c>
      <c r="H8" s="471">
        <v>1</v>
      </c>
      <c r="I8" s="472">
        <v>3.9E-2</v>
      </c>
      <c r="J8" s="549">
        <v>0.2</v>
      </c>
      <c r="K8" s="964">
        <v>0.75</v>
      </c>
      <c r="L8" s="471"/>
      <c r="M8" s="1394">
        <f>+AVERAGE(E8:E11)*$C$8</f>
        <v>0.105</v>
      </c>
      <c r="N8" s="1394">
        <f>+AVERAGE(F8:F11)*$C$8</f>
        <v>0.29250000000000004</v>
      </c>
      <c r="O8" s="1394">
        <f>+AVERAGE(G8:G11)*$C$8</f>
        <v>0.45749999999999996</v>
      </c>
      <c r="P8" s="1394">
        <f>+AVERAGE(H8:H11)*$C$8</f>
        <v>0.6</v>
      </c>
      <c r="Q8" s="1394">
        <f>+AVERAGE(I8:I11)</f>
        <v>0.12225000000000001</v>
      </c>
      <c r="R8" s="1394">
        <f>+AVERAGE(J8:J11)</f>
        <v>0.38750000000000001</v>
      </c>
      <c r="S8" s="1394">
        <f>+AVERAGE(K8:K11)</f>
        <v>0.76249999999999996</v>
      </c>
      <c r="T8" s="1394" t="e">
        <f>+AVERAGE(L8:L11)</f>
        <v>#DIV/0!</v>
      </c>
      <c r="U8" s="1394">
        <f>+Q8*$C$8</f>
        <v>7.3349999999999999E-2</v>
      </c>
      <c r="V8" s="1394">
        <f>+R8*$C$8</f>
        <v>0.23249999999999998</v>
      </c>
      <c r="W8" s="1394">
        <f>+S8*$C$8</f>
        <v>0.45749999999999996</v>
      </c>
      <c r="X8" s="1394" t="e">
        <f>+T8*$C$8</f>
        <v>#DIV/0!</v>
      </c>
      <c r="Y8" s="1509">
        <f t="shared" si="0"/>
        <v>0.69857142857142862</v>
      </c>
      <c r="Z8" s="1511">
        <f t="shared" si="0"/>
        <v>0.79487179487179471</v>
      </c>
      <c r="AA8" s="1509">
        <f t="shared" si="0"/>
        <v>1</v>
      </c>
      <c r="AB8" s="1386" t="e">
        <f t="shared" si="0"/>
        <v>#DIV/0!</v>
      </c>
    </row>
    <row r="9" spans="2:28" s="71" customFormat="1" ht="38.25" customHeight="1" x14ac:dyDescent="0.25">
      <c r="B9" s="1436"/>
      <c r="C9" s="1503"/>
      <c r="D9" s="278" t="s">
        <v>153</v>
      </c>
      <c r="E9" s="473">
        <v>0.05</v>
      </c>
      <c r="F9" s="473">
        <v>0.55000000000000004</v>
      </c>
      <c r="G9" s="473">
        <v>0.8</v>
      </c>
      <c r="H9" s="473">
        <v>1</v>
      </c>
      <c r="I9" s="474">
        <v>0.05</v>
      </c>
      <c r="J9" s="474">
        <v>0.55000000000000004</v>
      </c>
      <c r="K9" s="474">
        <v>0.8</v>
      </c>
      <c r="L9" s="473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3"/>
      <c r="Y9" s="1109"/>
      <c r="Z9" s="1512"/>
      <c r="AA9" s="1109"/>
      <c r="AB9" s="1111"/>
    </row>
    <row r="10" spans="2:28" s="71" customFormat="1" ht="63" customHeight="1" x14ac:dyDescent="0.25">
      <c r="B10" s="1436"/>
      <c r="C10" s="1503"/>
      <c r="D10" s="278" t="s">
        <v>154</v>
      </c>
      <c r="E10" s="473">
        <v>0.2</v>
      </c>
      <c r="F10" s="473">
        <v>0.4</v>
      </c>
      <c r="G10" s="473">
        <v>0.7</v>
      </c>
      <c r="H10" s="473">
        <v>1</v>
      </c>
      <c r="I10" s="474">
        <v>0.2</v>
      </c>
      <c r="J10" s="550">
        <v>0.3</v>
      </c>
      <c r="K10" s="474">
        <v>0.7</v>
      </c>
      <c r="L10" s="47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9"/>
      <c r="Z10" s="1512"/>
      <c r="AA10" s="1109"/>
      <c r="AB10" s="1111"/>
    </row>
    <row r="11" spans="2:28" s="71" customFormat="1" ht="90.75" customHeight="1" thickBot="1" x14ac:dyDescent="0.3">
      <c r="B11" s="1437"/>
      <c r="C11" s="1504"/>
      <c r="D11" s="307" t="s">
        <v>155</v>
      </c>
      <c r="E11" s="475">
        <v>0.2</v>
      </c>
      <c r="F11" s="475">
        <v>0.5</v>
      </c>
      <c r="G11" s="475">
        <v>0.8</v>
      </c>
      <c r="H11" s="475">
        <v>1</v>
      </c>
      <c r="I11" s="476">
        <v>0.2</v>
      </c>
      <c r="J11" s="476">
        <v>0.5</v>
      </c>
      <c r="K11" s="476">
        <v>0.8</v>
      </c>
      <c r="L11" s="475"/>
      <c r="M11" s="1383"/>
      <c r="N11" s="1383"/>
      <c r="O11" s="1383"/>
      <c r="P11" s="1383"/>
      <c r="Q11" s="1383"/>
      <c r="R11" s="1383"/>
      <c r="S11" s="1383"/>
      <c r="T11" s="1383"/>
      <c r="U11" s="1383"/>
      <c r="V11" s="1383"/>
      <c r="W11" s="1383"/>
      <c r="X11" s="1383"/>
      <c r="Y11" s="1510"/>
      <c r="Z11" s="1513"/>
      <c r="AA11" s="1510"/>
      <c r="AB11" s="1387"/>
    </row>
    <row r="12" spans="2:28" s="71" customFormat="1" ht="108.75" customHeight="1" thickBot="1" x14ac:dyDescent="0.3">
      <c r="B12" s="482" t="s">
        <v>203</v>
      </c>
      <c r="C12" s="483">
        <v>0.1</v>
      </c>
      <c r="D12" s="484" t="s">
        <v>156</v>
      </c>
      <c r="E12" s="485">
        <v>0.25</v>
      </c>
      <c r="F12" s="485">
        <v>0.5</v>
      </c>
      <c r="G12" s="485">
        <v>0.75</v>
      </c>
      <c r="H12" s="485">
        <v>1</v>
      </c>
      <c r="I12" s="486">
        <v>0.25</v>
      </c>
      <c r="J12" s="486">
        <v>0.5</v>
      </c>
      <c r="K12" s="486">
        <v>0.75</v>
      </c>
      <c r="L12" s="485"/>
      <c r="M12" s="547">
        <f>+AVERAGE(E12:E12)*$C$12</f>
        <v>2.5000000000000001E-2</v>
      </c>
      <c r="N12" s="547">
        <f>+AVERAGE(F12:F12)*$C$12</f>
        <v>0.05</v>
      </c>
      <c r="O12" s="547">
        <f>+AVERAGE(G12:G12)*$C$12</f>
        <v>7.5000000000000011E-2</v>
      </c>
      <c r="P12" s="547">
        <f>+AVERAGE(H12:H12)*$C$12</f>
        <v>0.1</v>
      </c>
      <c r="Q12" s="547">
        <f>+AVERAGE(I12:I12)</f>
        <v>0.25</v>
      </c>
      <c r="R12" s="547">
        <f>+AVERAGE(J12:J12)</f>
        <v>0.5</v>
      </c>
      <c r="S12" s="547">
        <f>+AVERAGE(K12:K12)</f>
        <v>0.75</v>
      </c>
      <c r="T12" s="547" t="e">
        <f>+AVERAGE(L12:L12)</f>
        <v>#DIV/0!</v>
      </c>
      <c r="U12" s="547">
        <f>+Q12*$C$12</f>
        <v>2.5000000000000001E-2</v>
      </c>
      <c r="V12" s="547">
        <f>+R12*$C$12</f>
        <v>0.05</v>
      </c>
      <c r="W12" s="547">
        <f>+S12*$C$12</f>
        <v>7.5000000000000011E-2</v>
      </c>
      <c r="X12" s="547" t="e">
        <f>+T12*$C$12</f>
        <v>#DIV/0!</v>
      </c>
      <c r="Y12" s="548">
        <f t="shared" ref="Y12:AB13" si="1">+U12/M12</f>
        <v>1</v>
      </c>
      <c r="Z12" s="544">
        <f t="shared" si="1"/>
        <v>1</v>
      </c>
      <c r="AA12" s="546">
        <f t="shared" si="1"/>
        <v>1</v>
      </c>
      <c r="AB12" s="628" t="e">
        <f t="shared" si="1"/>
        <v>#DIV/0!</v>
      </c>
    </row>
    <row r="13" spans="2:28" s="599" customFormat="1" ht="23.25" customHeight="1" thickTop="1" thickBot="1" x14ac:dyDescent="0.3">
      <c r="B13" s="682" t="s">
        <v>12</v>
      </c>
      <c r="C13" s="683">
        <f>SUM(C7:C12)</f>
        <v>0.99999999999999989</v>
      </c>
      <c r="D13" s="684"/>
      <c r="E13" s="685"/>
      <c r="F13" s="685"/>
      <c r="G13" s="685"/>
      <c r="H13" s="685"/>
      <c r="I13" s="685"/>
      <c r="J13" s="685"/>
      <c r="K13" s="685"/>
      <c r="L13" s="685"/>
      <c r="M13" s="685">
        <f>SUM(M7:M12)</f>
        <v>0.22</v>
      </c>
      <c r="N13" s="685">
        <f>SUM(N7:N12)</f>
        <v>0.49249999999999999</v>
      </c>
      <c r="O13" s="685">
        <f>SUM(O7:O12)</f>
        <v>0.76249999999999996</v>
      </c>
      <c r="P13" s="685">
        <f>SUM(P7:P12)</f>
        <v>0.99999999999999989</v>
      </c>
      <c r="Q13" s="686"/>
      <c r="R13" s="686"/>
      <c r="S13" s="686"/>
      <c r="T13" s="686"/>
      <c r="U13" s="685">
        <f>SUM(U7:U12)</f>
        <v>0.18834999999999999</v>
      </c>
      <c r="V13" s="685">
        <f>SUM(V7:V12)</f>
        <v>0.41249999999999998</v>
      </c>
      <c r="W13" s="685">
        <f>SUM(W7:W12)</f>
        <v>0.76249999999999996</v>
      </c>
      <c r="X13" s="685" t="e">
        <f>SUM(X7:X12)</f>
        <v>#DIV/0!</v>
      </c>
      <c r="Y13" s="685">
        <f t="shared" si="1"/>
        <v>0.85613636363636358</v>
      </c>
      <c r="Z13" s="687">
        <f t="shared" si="1"/>
        <v>0.8375634517766497</v>
      </c>
      <c r="AA13" s="963">
        <f t="shared" si="1"/>
        <v>1</v>
      </c>
      <c r="AB13" s="961" t="e">
        <f t="shared" si="1"/>
        <v>#DIV/0!</v>
      </c>
    </row>
    <row r="14" spans="2:28" ht="15.75" thickTop="1" x14ac:dyDescent="0.25"/>
    <row r="15" spans="2:28" x14ac:dyDescent="0.25">
      <c r="E15" s="390" t="s">
        <v>129</v>
      </c>
      <c r="H15" s="401"/>
      <c r="I15" s="389">
        <v>0</v>
      </c>
      <c r="J15" s="399">
        <v>0</v>
      </c>
      <c r="K15" s="948">
        <v>0</v>
      </c>
    </row>
    <row r="16" spans="2:28" x14ac:dyDescent="0.25">
      <c r="E16" s="284" t="s">
        <v>130</v>
      </c>
      <c r="I16" s="387">
        <f>5/6</f>
        <v>0.83333333333333337</v>
      </c>
      <c r="J16" s="395">
        <f>4/6</f>
        <v>0.66666666666666663</v>
      </c>
      <c r="K16" s="949">
        <v>1</v>
      </c>
    </row>
    <row r="17" spans="5:11" x14ac:dyDescent="0.25">
      <c r="E17" s="391" t="s">
        <v>131</v>
      </c>
      <c r="H17" s="392"/>
      <c r="I17" s="393">
        <v>0.16666666666666666</v>
      </c>
      <c r="J17" s="551">
        <f>2/6</f>
        <v>0.33333333333333331</v>
      </c>
      <c r="K17" s="950">
        <v>0</v>
      </c>
    </row>
    <row r="18" spans="5:11" x14ac:dyDescent="0.25">
      <c r="E18" s="276" t="s">
        <v>12</v>
      </c>
      <c r="I18" s="386">
        <f>SUM(I15:I17)</f>
        <v>1</v>
      </c>
      <c r="J18" s="231">
        <f>SUM(J15:J17)</f>
        <v>1</v>
      </c>
      <c r="K18" s="951">
        <f>SUM(K15:K17)</f>
        <v>1</v>
      </c>
    </row>
    <row r="19" spans="5:11" x14ac:dyDescent="0.25">
      <c r="I19" s="231"/>
    </row>
  </sheetData>
  <mergeCells count="28">
    <mergeCell ref="AA8:AA11"/>
    <mergeCell ref="AB8:AB11"/>
    <mergeCell ref="V8:V11"/>
    <mergeCell ref="W8:W11"/>
    <mergeCell ref="X8:X11"/>
    <mergeCell ref="Y8:Y11"/>
    <mergeCell ref="Z8:Z11"/>
    <mergeCell ref="Q8:Q11"/>
    <mergeCell ref="R8:R11"/>
    <mergeCell ref="S8:S11"/>
    <mergeCell ref="T8:T11"/>
    <mergeCell ref="U8:U11"/>
    <mergeCell ref="B8:B11"/>
    <mergeCell ref="C8:C11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M8:M11"/>
    <mergeCell ref="N8:N11"/>
    <mergeCell ref="O8:O11"/>
    <mergeCell ref="P8:P1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24"/>
  <sheetViews>
    <sheetView zoomScale="80" zoomScaleNormal="80" workbookViewId="0">
      <selection activeCell="B3" sqref="B3:AB18"/>
    </sheetView>
  </sheetViews>
  <sheetFormatPr baseColWidth="10" defaultRowHeight="15.75" x14ac:dyDescent="0.25"/>
  <cols>
    <col min="1" max="1" width="1.85546875" customWidth="1"/>
    <col min="2" max="2" width="29.7109375" customWidth="1"/>
    <col min="3" max="3" width="13.28515625" customWidth="1"/>
    <col min="4" max="4" width="36" customWidth="1"/>
    <col min="5" max="5" width="11.42578125" hidden="1" customWidth="1"/>
    <col min="6" max="6" width="11.42578125" style="277" hidden="1" customWidth="1"/>
    <col min="7" max="7" width="11.42578125" customWidth="1"/>
    <col min="8" max="10" width="11.42578125" hidden="1" customWidth="1"/>
    <col min="11" max="11" width="11.42578125" customWidth="1"/>
    <col min="12" max="12" width="11.42578125" hidden="1" customWidth="1"/>
    <col min="13" max="13" width="15.28515625" hidden="1" customWidth="1"/>
    <col min="14" max="14" width="16.85546875" hidden="1" customWidth="1"/>
    <col min="15" max="15" width="16.28515625" customWidth="1"/>
    <col min="16" max="16" width="3" hidden="1" customWidth="1"/>
    <col min="17" max="17" width="16.85546875" hidden="1" customWidth="1"/>
    <col min="18" max="18" width="17.140625" hidden="1" customWidth="1"/>
    <col min="19" max="19" width="17.42578125" customWidth="1"/>
    <col min="20" max="20" width="11.85546875" hidden="1" customWidth="1"/>
    <col min="21" max="21" width="19.7109375" hidden="1" customWidth="1"/>
    <col min="22" max="22" width="14.7109375" hidden="1" customWidth="1"/>
    <col min="23" max="23" width="19.5703125" customWidth="1"/>
    <col min="24" max="24" width="13.140625" hidden="1" customWidth="1"/>
    <col min="25" max="25" width="21.5703125" hidden="1" customWidth="1"/>
    <col min="26" max="26" width="19.5703125" hidden="1" customWidth="1"/>
    <col min="27" max="27" width="15.28515625" customWidth="1"/>
    <col min="28" max="28" width="11.5703125" hidden="1" customWidth="1"/>
  </cols>
  <sheetData>
    <row r="2" spans="2:28" ht="16.5" thickBot="1" x14ac:dyDescent="0.3"/>
    <row r="3" spans="2:28" ht="34.5" thickBot="1" x14ac:dyDescent="0.55000000000000004">
      <c r="B3" s="1543" t="s">
        <v>330</v>
      </c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5"/>
    </row>
    <row r="4" spans="2:28" ht="16.5" thickBot="1" x14ac:dyDescent="0.3"/>
    <row r="5" spans="2:28" ht="91.5" customHeight="1" thickTop="1" x14ac:dyDescent="0.25">
      <c r="B5" s="1094" t="s">
        <v>0</v>
      </c>
      <c r="C5" s="1096" t="s">
        <v>1</v>
      </c>
      <c r="D5" s="1098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056" t="s">
        <v>5</v>
      </c>
      <c r="R5" s="1056"/>
      <c r="S5" s="1056"/>
      <c r="T5" s="1056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ht="19.5" thickBot="1" x14ac:dyDescent="0.3">
      <c r="B6" s="1546"/>
      <c r="C6" s="1547"/>
      <c r="D6" s="1350"/>
      <c r="E6" s="637" t="s">
        <v>8</v>
      </c>
      <c r="F6" s="637" t="s">
        <v>9</v>
      </c>
      <c r="G6" s="637" t="s">
        <v>10</v>
      </c>
      <c r="H6" s="637" t="s">
        <v>11</v>
      </c>
      <c r="I6" s="637" t="s">
        <v>8</v>
      </c>
      <c r="J6" s="637" t="s">
        <v>9</v>
      </c>
      <c r="K6" s="637" t="s">
        <v>10</v>
      </c>
      <c r="L6" s="637" t="s">
        <v>11</v>
      </c>
      <c r="M6" s="637" t="s">
        <v>8</v>
      </c>
      <c r="N6" s="637" t="s">
        <v>9</v>
      </c>
      <c r="O6" s="637" t="s">
        <v>10</v>
      </c>
      <c r="P6" s="637" t="s">
        <v>11</v>
      </c>
      <c r="Q6" s="637" t="s">
        <v>8</v>
      </c>
      <c r="R6" s="637" t="s">
        <v>9</v>
      </c>
      <c r="S6" s="637" t="s">
        <v>10</v>
      </c>
      <c r="T6" s="637" t="s">
        <v>11</v>
      </c>
      <c r="U6" s="637" t="s">
        <v>8</v>
      </c>
      <c r="V6" s="637" t="s">
        <v>9</v>
      </c>
      <c r="W6" s="637" t="s">
        <v>10</v>
      </c>
      <c r="X6" s="637" t="s">
        <v>11</v>
      </c>
      <c r="Y6" s="637" t="s">
        <v>8</v>
      </c>
      <c r="Z6" s="637" t="s">
        <v>9</v>
      </c>
      <c r="AA6" s="637" t="s">
        <v>10</v>
      </c>
      <c r="AB6" s="638" t="s">
        <v>11</v>
      </c>
    </row>
    <row r="7" spans="2:28" s="71" customFormat="1" ht="89.25" customHeight="1" thickTop="1" x14ac:dyDescent="0.25">
      <c r="B7" s="1548" t="s">
        <v>142</v>
      </c>
      <c r="C7" s="1550">
        <v>0.23</v>
      </c>
      <c r="D7" s="470" t="s">
        <v>143</v>
      </c>
      <c r="E7" s="1538">
        <v>0.4</v>
      </c>
      <c r="F7" s="1540">
        <v>0.625</v>
      </c>
      <c r="G7" s="1538">
        <v>0.85</v>
      </c>
      <c r="H7" s="1538">
        <v>1</v>
      </c>
      <c r="I7" s="1536">
        <v>0.4</v>
      </c>
      <c r="J7" s="1536">
        <v>0.625</v>
      </c>
      <c r="K7" s="1536">
        <v>0.85</v>
      </c>
      <c r="L7" s="1538"/>
      <c r="M7" s="1313">
        <f>+AVERAGE(E7:E9)*$C$7</f>
        <v>9.2000000000000012E-2</v>
      </c>
      <c r="N7" s="1313">
        <f>+AVERAGE(F7:F9)*$C$7</f>
        <v>0.14375000000000002</v>
      </c>
      <c r="O7" s="1313">
        <f>+AVERAGE(G7:G9)*$C$7</f>
        <v>0.19550000000000001</v>
      </c>
      <c r="P7" s="1313">
        <f>+AVERAGE(H7:H9)*$C$7</f>
        <v>0.23</v>
      </c>
      <c r="Q7" s="1313">
        <f>+AVERAGE(I7:I9)</f>
        <v>0.4</v>
      </c>
      <c r="R7" s="1313">
        <f>+AVERAGE(J7:J9)</f>
        <v>0.625</v>
      </c>
      <c r="S7" s="1313">
        <f>+AVERAGE(K7:K9)</f>
        <v>0.85</v>
      </c>
      <c r="T7" s="1313" t="e">
        <f>+AVERAGE(L7:L9)</f>
        <v>#DIV/0!</v>
      </c>
      <c r="U7" s="1313">
        <f>+Q7*$C$7</f>
        <v>9.2000000000000012E-2</v>
      </c>
      <c r="V7" s="1313">
        <f>+R7*$C$7</f>
        <v>0.14375000000000002</v>
      </c>
      <c r="W7" s="1313">
        <f>+S7*$C$7</f>
        <v>0.19550000000000001</v>
      </c>
      <c r="X7" s="1313" t="e">
        <f>+T7*$C$7</f>
        <v>#DIV/0!</v>
      </c>
      <c r="Y7" s="1551">
        <f>+U7/M7</f>
        <v>1</v>
      </c>
      <c r="Z7" s="1317">
        <f>+V7/N7</f>
        <v>1</v>
      </c>
      <c r="AA7" s="1317">
        <f>+W7/O7</f>
        <v>1</v>
      </c>
      <c r="AB7" s="1392" t="e">
        <f>+X7/P7</f>
        <v>#DIV/0!</v>
      </c>
    </row>
    <row r="8" spans="2:28" s="71" customFormat="1" ht="48" customHeight="1" x14ac:dyDescent="0.25">
      <c r="B8" s="1549"/>
      <c r="C8" s="1503"/>
      <c r="D8" s="325" t="s">
        <v>144</v>
      </c>
      <c r="E8" s="1539"/>
      <c r="F8" s="1541"/>
      <c r="G8" s="1539"/>
      <c r="H8" s="1539"/>
      <c r="I8" s="1537"/>
      <c r="J8" s="1537"/>
      <c r="K8" s="1537"/>
      <c r="L8" s="1539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9"/>
      <c r="Z8" s="1111"/>
      <c r="AA8" s="1111"/>
      <c r="AB8" s="1107"/>
    </row>
    <row r="9" spans="2:28" s="71" customFormat="1" ht="30" customHeight="1" thickBot="1" x14ac:dyDescent="0.3">
      <c r="B9" s="1535"/>
      <c r="C9" s="1504"/>
      <c r="D9" s="305" t="s">
        <v>178</v>
      </c>
      <c r="E9" s="1517"/>
      <c r="F9" s="1542"/>
      <c r="G9" s="1517"/>
      <c r="H9" s="1517"/>
      <c r="I9" s="1525"/>
      <c r="J9" s="1525"/>
      <c r="K9" s="1525"/>
      <c r="L9" s="1517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510"/>
      <c r="Z9" s="1387"/>
      <c r="AA9" s="1387"/>
      <c r="AB9" s="1393"/>
    </row>
    <row r="10" spans="2:28" s="71" customFormat="1" ht="72" customHeight="1" x14ac:dyDescent="0.25">
      <c r="B10" s="1534" t="s">
        <v>145</v>
      </c>
      <c r="C10" s="1502">
        <v>0.22</v>
      </c>
      <c r="D10" s="304" t="s">
        <v>146</v>
      </c>
      <c r="E10" s="1516">
        <v>0.25</v>
      </c>
      <c r="F10" s="1516">
        <v>0.53129999999999999</v>
      </c>
      <c r="G10" s="1516">
        <v>0.8125</v>
      </c>
      <c r="H10" s="1516">
        <v>1</v>
      </c>
      <c r="I10" s="1524">
        <v>0.25</v>
      </c>
      <c r="J10" s="1524">
        <v>0.53129999999999999</v>
      </c>
      <c r="K10" s="1524">
        <v>0.8125</v>
      </c>
      <c r="L10" s="1516"/>
      <c r="M10" s="1516">
        <f>+AVERAGE(E10:E11)*$C$10</f>
        <v>5.5E-2</v>
      </c>
      <c r="N10" s="1516">
        <f>+AVERAGE(F10:F11)*$C$10</f>
        <v>0.116886</v>
      </c>
      <c r="O10" s="1516">
        <f>+AVERAGE(G10:G11)*$C$10</f>
        <v>0.17874999999999999</v>
      </c>
      <c r="P10" s="1516">
        <f>+AVERAGE(H10:H11)*$C$10</f>
        <v>0.22</v>
      </c>
      <c r="Q10" s="1516">
        <f>+AVERAGE(I10:I11)</f>
        <v>0.25</v>
      </c>
      <c r="R10" s="1516">
        <f>+AVERAGE(J10:J11)</f>
        <v>0.53129999999999999</v>
      </c>
      <c r="S10" s="1516">
        <f>+AVERAGE(K10:K11)</f>
        <v>0.8125</v>
      </c>
      <c r="T10" s="1516" t="e">
        <f>+AVERAGE(L10:L11)</f>
        <v>#DIV/0!</v>
      </c>
      <c r="U10" s="1516">
        <f>+Q10*$C$10</f>
        <v>5.5E-2</v>
      </c>
      <c r="V10" s="1516">
        <f>+R10*$C$10</f>
        <v>0.116886</v>
      </c>
      <c r="W10" s="1516">
        <f>+S10*$C$10</f>
        <v>0.17874999999999999</v>
      </c>
      <c r="X10" s="1516" t="e">
        <f>+T10*$C$10</f>
        <v>#DIV/0!</v>
      </c>
      <c r="Y10" s="1518">
        <f>+U10/M10</f>
        <v>1</v>
      </c>
      <c r="Z10" s="1520">
        <f>+V10/N10</f>
        <v>1</v>
      </c>
      <c r="AA10" s="1520">
        <f>+W10/O10</f>
        <v>1</v>
      </c>
      <c r="AB10" s="1514" t="e">
        <f>+X10/P10</f>
        <v>#DIV/0!</v>
      </c>
    </row>
    <row r="11" spans="2:28" s="71" customFormat="1" ht="33.75" customHeight="1" thickBot="1" x14ac:dyDescent="0.3">
      <c r="B11" s="1535"/>
      <c r="C11" s="1504"/>
      <c r="D11" s="326" t="s">
        <v>178</v>
      </c>
      <c r="E11" s="1517"/>
      <c r="F11" s="1517"/>
      <c r="G11" s="1517"/>
      <c r="H11" s="1517"/>
      <c r="I11" s="1525"/>
      <c r="J11" s="1525"/>
      <c r="K11" s="1525"/>
      <c r="L11" s="1517"/>
      <c r="M11" s="1517"/>
      <c r="N11" s="1517"/>
      <c r="O11" s="1517"/>
      <c r="P11" s="1517"/>
      <c r="Q11" s="1517"/>
      <c r="R11" s="1517"/>
      <c r="S11" s="1517"/>
      <c r="T11" s="1517"/>
      <c r="U11" s="1517"/>
      <c r="V11" s="1517"/>
      <c r="W11" s="1517"/>
      <c r="X11" s="1517"/>
      <c r="Y11" s="1519"/>
      <c r="Z11" s="1521"/>
      <c r="AA11" s="1521"/>
      <c r="AB11" s="1515"/>
    </row>
    <row r="12" spans="2:28" s="71" customFormat="1" ht="44.25" customHeight="1" x14ac:dyDescent="0.25">
      <c r="B12" s="1534" t="s">
        <v>147</v>
      </c>
      <c r="C12" s="1502">
        <v>0.22</v>
      </c>
      <c r="D12" s="304" t="s">
        <v>149</v>
      </c>
      <c r="E12" s="1516">
        <v>0.22270000000000001</v>
      </c>
      <c r="F12" s="1516">
        <v>0.48180000000000001</v>
      </c>
      <c r="G12" s="1516">
        <v>0.7409</v>
      </c>
      <c r="H12" s="1516">
        <v>1</v>
      </c>
      <c r="I12" s="1524">
        <v>0.22270000000000001</v>
      </c>
      <c r="J12" s="1524">
        <v>0.48180000000000001</v>
      </c>
      <c r="K12" s="1524">
        <v>0.7409</v>
      </c>
      <c r="L12" s="1516"/>
      <c r="M12" s="1516">
        <f>+AVERAGE(E12:E13)*$C$12</f>
        <v>4.8994000000000003E-2</v>
      </c>
      <c r="N12" s="1516">
        <f>+AVERAGE(F12:F13)*$C$12</f>
        <v>0.10599600000000001</v>
      </c>
      <c r="O12" s="1516">
        <f>+AVERAGE(G12:G13)*$C$12</f>
        <v>0.162998</v>
      </c>
      <c r="P12" s="1516">
        <f>+AVERAGE(H12:H13)*$C$12</f>
        <v>0.22</v>
      </c>
      <c r="Q12" s="1516">
        <f>+AVERAGE(I12:I13)</f>
        <v>0.22270000000000001</v>
      </c>
      <c r="R12" s="1516">
        <f>+AVERAGE(J12:J13)</f>
        <v>0.48180000000000001</v>
      </c>
      <c r="S12" s="1516">
        <f>+AVERAGE(K12:K13)</f>
        <v>0.7409</v>
      </c>
      <c r="T12" s="1516" t="e">
        <f>+AVERAGE(L12:L13)</f>
        <v>#DIV/0!</v>
      </c>
      <c r="U12" s="1516">
        <f>+Q12*$C$12</f>
        <v>4.8994000000000003E-2</v>
      </c>
      <c r="V12" s="1516">
        <f>+R12*$C$12</f>
        <v>0.10599600000000001</v>
      </c>
      <c r="W12" s="1516">
        <f>+S12*$C$12</f>
        <v>0.162998</v>
      </c>
      <c r="X12" s="1516" t="e">
        <f>+T12*$C$12</f>
        <v>#DIV/0!</v>
      </c>
      <c r="Y12" s="1518">
        <f>+U12/M12</f>
        <v>1</v>
      </c>
      <c r="Z12" s="1520">
        <f>+V12/N12</f>
        <v>1</v>
      </c>
      <c r="AA12" s="1520">
        <f>+W12/O12</f>
        <v>1</v>
      </c>
      <c r="AB12" s="1514" t="e">
        <f>+X12/P12</f>
        <v>#DIV/0!</v>
      </c>
    </row>
    <row r="13" spans="2:28" s="71" customFormat="1" ht="33.75" customHeight="1" thickBot="1" x14ac:dyDescent="0.3">
      <c r="B13" s="1535"/>
      <c r="C13" s="1504"/>
      <c r="D13" s="326" t="s">
        <v>178</v>
      </c>
      <c r="E13" s="1517"/>
      <c r="F13" s="1517"/>
      <c r="G13" s="1517"/>
      <c r="H13" s="1517"/>
      <c r="I13" s="1525"/>
      <c r="J13" s="1525"/>
      <c r="K13" s="1525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9"/>
      <c r="Z13" s="1521"/>
      <c r="AA13" s="1521"/>
      <c r="AB13" s="1515"/>
    </row>
    <row r="14" spans="2:28" s="71" customFormat="1" ht="44.25" customHeight="1" x14ac:dyDescent="0.25">
      <c r="B14" s="1435" t="s">
        <v>148</v>
      </c>
      <c r="C14" s="1502">
        <v>0.1</v>
      </c>
      <c r="D14" s="304" t="s">
        <v>149</v>
      </c>
      <c r="E14" s="1526">
        <v>0.2273</v>
      </c>
      <c r="F14" s="1526">
        <v>0.48480000000000001</v>
      </c>
      <c r="G14" s="1526">
        <v>0.74239999999999995</v>
      </c>
      <c r="H14" s="1526">
        <v>1</v>
      </c>
      <c r="I14" s="1532">
        <v>0.2273</v>
      </c>
      <c r="J14" s="1532">
        <v>0.48480000000000001</v>
      </c>
      <c r="K14" s="1532">
        <v>0.74239999999999995</v>
      </c>
      <c r="L14" s="1526"/>
      <c r="M14" s="1526">
        <f>+AVERAGE(E14:E15)*$C$14</f>
        <v>2.273E-2</v>
      </c>
      <c r="N14" s="1526">
        <f>+AVERAGE(F14:F15)*$C$14</f>
        <v>4.8480000000000002E-2</v>
      </c>
      <c r="O14" s="1526">
        <f>+AVERAGE(G14:G15)*$C$14</f>
        <v>7.424E-2</v>
      </c>
      <c r="P14" s="1526">
        <f>+AVERAGE(H14:H15)*$C$14</f>
        <v>0.1</v>
      </c>
      <c r="Q14" s="1526">
        <f>+AVERAGE(I14:I15)</f>
        <v>0.2273</v>
      </c>
      <c r="R14" s="1526">
        <f>+AVERAGE(J14:J15)</f>
        <v>0.48480000000000001</v>
      </c>
      <c r="S14" s="1526">
        <f>+AVERAGE(K14:K15)</f>
        <v>0.74239999999999995</v>
      </c>
      <c r="T14" s="1526" t="e">
        <f>+AVERAGE(L14:L15)</f>
        <v>#DIV/0!</v>
      </c>
      <c r="U14" s="1526">
        <f>+Q14*$C$14</f>
        <v>2.273E-2</v>
      </c>
      <c r="V14" s="1526">
        <f>+R14*$C$14</f>
        <v>4.8480000000000002E-2</v>
      </c>
      <c r="W14" s="1526">
        <f>+S14*$C$14</f>
        <v>7.424E-2</v>
      </c>
      <c r="X14" s="1526" t="e">
        <f>+T14*$C$14</f>
        <v>#DIV/0!</v>
      </c>
      <c r="Y14" s="1528">
        <f>+U14/M14</f>
        <v>1</v>
      </c>
      <c r="Z14" s="1530">
        <f>+V14/N14</f>
        <v>1</v>
      </c>
      <c r="AA14" s="1530">
        <f>+W14/O14</f>
        <v>1</v>
      </c>
      <c r="AB14" s="1522" t="e">
        <f>+X14/P14</f>
        <v>#DIV/0!</v>
      </c>
    </row>
    <row r="15" spans="2:28" s="71" customFormat="1" ht="28.5" customHeight="1" thickBot="1" x14ac:dyDescent="0.3">
      <c r="B15" s="1437"/>
      <c r="C15" s="1504"/>
      <c r="D15" s="326" t="s">
        <v>178</v>
      </c>
      <c r="E15" s="1527"/>
      <c r="F15" s="1527"/>
      <c r="G15" s="1527"/>
      <c r="H15" s="1527"/>
      <c r="I15" s="1533"/>
      <c r="J15" s="1533"/>
      <c r="K15" s="1533"/>
      <c r="L15" s="1527"/>
      <c r="M15" s="1527"/>
      <c r="N15" s="1527"/>
      <c r="O15" s="1527"/>
      <c r="P15" s="1527"/>
      <c r="Q15" s="1527"/>
      <c r="R15" s="1527"/>
      <c r="S15" s="1527"/>
      <c r="T15" s="1527"/>
      <c r="U15" s="1527"/>
      <c r="V15" s="1527"/>
      <c r="W15" s="1527"/>
      <c r="X15" s="1527"/>
      <c r="Y15" s="1529"/>
      <c r="Z15" s="1531"/>
      <c r="AA15" s="1531"/>
      <c r="AB15" s="1523"/>
    </row>
    <row r="16" spans="2:28" s="71" customFormat="1" ht="87" customHeight="1" x14ac:dyDescent="0.25">
      <c r="B16" s="1435" t="s">
        <v>177</v>
      </c>
      <c r="C16" s="1502">
        <v>0.23</v>
      </c>
      <c r="D16" s="327" t="s">
        <v>179</v>
      </c>
      <c r="E16" s="1516">
        <v>0.1817</v>
      </c>
      <c r="F16" s="1516">
        <v>0.45450000000000002</v>
      </c>
      <c r="G16" s="1516">
        <v>0.72750000000000004</v>
      </c>
      <c r="H16" s="1516">
        <v>1</v>
      </c>
      <c r="I16" s="1524">
        <v>0.1817</v>
      </c>
      <c r="J16" s="1524">
        <v>0.45450000000000002</v>
      </c>
      <c r="K16" s="1524">
        <v>0.72719999999999996</v>
      </c>
      <c r="L16" s="1516"/>
      <c r="M16" s="1516">
        <f>+AVERAGE(E16:E17)*$C$16</f>
        <v>4.1791000000000002E-2</v>
      </c>
      <c r="N16" s="1516">
        <f>+AVERAGE(F16:F17)*$C$16</f>
        <v>0.104535</v>
      </c>
      <c r="O16" s="1516">
        <f>+AVERAGE(G16:G17)*$C$16</f>
        <v>0.16732500000000003</v>
      </c>
      <c r="P16" s="1516">
        <f>+AVERAGE(H16:H17)*$C$16</f>
        <v>0.23</v>
      </c>
      <c r="Q16" s="1516">
        <f>+AVERAGE(I16:I17)</f>
        <v>0.1817</v>
      </c>
      <c r="R16" s="1516">
        <f>+AVERAGE(J16:J17)</f>
        <v>0.45450000000000002</v>
      </c>
      <c r="S16" s="1516">
        <f>+AVERAGE(K16:K17)</f>
        <v>0.72719999999999996</v>
      </c>
      <c r="T16" s="1516" t="e">
        <f>+AVERAGE(L16:L17)</f>
        <v>#DIV/0!</v>
      </c>
      <c r="U16" s="1516">
        <f>+Q16*$C$16</f>
        <v>4.1791000000000002E-2</v>
      </c>
      <c r="V16" s="1516">
        <f>+R16*$C$16</f>
        <v>0.104535</v>
      </c>
      <c r="W16" s="1516">
        <f>+S16*$C$16</f>
        <v>0.16725599999999999</v>
      </c>
      <c r="X16" s="1516" t="e">
        <f>+T16*$C$16</f>
        <v>#DIV/0!</v>
      </c>
      <c r="Y16" s="1518">
        <f>+U16/M16</f>
        <v>1</v>
      </c>
      <c r="Z16" s="1520">
        <f>+V16/N16</f>
        <v>1</v>
      </c>
      <c r="AA16" s="1520">
        <f>+W16/O16</f>
        <v>0.99958762886597918</v>
      </c>
      <c r="AB16" s="1514" t="e">
        <f>+X16/P16</f>
        <v>#DIV/0!</v>
      </c>
    </row>
    <row r="17" spans="2:28" s="71" customFormat="1" ht="34.5" customHeight="1" thickBot="1" x14ac:dyDescent="0.3">
      <c r="B17" s="1437"/>
      <c r="C17" s="1504"/>
      <c r="D17" s="326" t="s">
        <v>178</v>
      </c>
      <c r="E17" s="1517"/>
      <c r="F17" s="1517"/>
      <c r="G17" s="1517"/>
      <c r="H17" s="1517"/>
      <c r="I17" s="1525"/>
      <c r="J17" s="1525"/>
      <c r="K17" s="1525"/>
      <c r="L17" s="1517"/>
      <c r="M17" s="1517"/>
      <c r="N17" s="1517"/>
      <c r="O17" s="1517"/>
      <c r="P17" s="1517"/>
      <c r="Q17" s="1517"/>
      <c r="R17" s="1517"/>
      <c r="S17" s="1517"/>
      <c r="T17" s="1517"/>
      <c r="U17" s="1517"/>
      <c r="V17" s="1517"/>
      <c r="W17" s="1517"/>
      <c r="X17" s="1517"/>
      <c r="Y17" s="1519"/>
      <c r="Z17" s="1521"/>
      <c r="AA17" s="1521"/>
      <c r="AB17" s="1515"/>
    </row>
    <row r="18" spans="2:28" s="590" customFormat="1" ht="23.25" customHeight="1" thickBot="1" x14ac:dyDescent="0.3">
      <c r="B18" s="682" t="s">
        <v>12</v>
      </c>
      <c r="C18" s="688">
        <f>SUM(C7:C17)</f>
        <v>1</v>
      </c>
      <c r="D18" s="684"/>
      <c r="E18" s="685"/>
      <c r="F18" s="685"/>
      <c r="G18" s="685"/>
      <c r="H18" s="685"/>
      <c r="I18" s="685"/>
      <c r="J18" s="685"/>
      <c r="K18" s="685"/>
      <c r="L18" s="685"/>
      <c r="M18" s="685">
        <f>SUM(M7:M16)</f>
        <v>0.26051500000000005</v>
      </c>
      <c r="N18" s="685">
        <f>SUM(N7:N16)</f>
        <v>0.51964700000000008</v>
      </c>
      <c r="O18" s="685">
        <f>SUM(O7:O16)</f>
        <v>0.77881299999999998</v>
      </c>
      <c r="P18" s="685">
        <f>SUM(P7:P16)</f>
        <v>1</v>
      </c>
      <c r="Q18" s="686"/>
      <c r="R18" s="686"/>
      <c r="S18" s="686"/>
      <c r="T18" s="686"/>
      <c r="U18" s="685">
        <f>SUM(U7:U16)</f>
        <v>0.26051500000000005</v>
      </c>
      <c r="V18" s="685">
        <f>SUM(V7:V16)</f>
        <v>0.51964700000000008</v>
      </c>
      <c r="W18" s="685">
        <f>SUM(W7:W16)</f>
        <v>0.77874399999999988</v>
      </c>
      <c r="X18" s="685" t="e">
        <f>SUM(X7:X16)</f>
        <v>#DIV/0!</v>
      </c>
      <c r="Y18" s="689">
        <f>+U18/M18</f>
        <v>1</v>
      </c>
      <c r="Z18" s="690">
        <f>+V16/N16</f>
        <v>1</v>
      </c>
      <c r="AA18" s="690">
        <f>+W18/O18</f>
        <v>0.99991140363604603</v>
      </c>
      <c r="AB18" s="906" t="e">
        <f>SUM(AB7:AB16)</f>
        <v>#DIV/0!</v>
      </c>
    </row>
    <row r="19" spans="2:28" ht="16.5" thickTop="1" x14ac:dyDescent="0.25"/>
    <row r="20" spans="2:28" x14ac:dyDescent="0.25">
      <c r="E20" s="390" t="s">
        <v>129</v>
      </c>
      <c r="I20" s="399">
        <v>0</v>
      </c>
      <c r="J20" s="539"/>
    </row>
    <row r="21" spans="2:28" x14ac:dyDescent="0.25">
      <c r="E21" s="284" t="s">
        <v>130</v>
      </c>
      <c r="I21" s="395">
        <f>5/5</f>
        <v>1</v>
      </c>
      <c r="J21" s="395">
        <f>5/5</f>
        <v>1</v>
      </c>
    </row>
    <row r="22" spans="2:28" x14ac:dyDescent="0.25">
      <c r="E22" s="394" t="s">
        <v>131</v>
      </c>
      <c r="I22" s="400">
        <v>0</v>
      </c>
      <c r="J22" s="392"/>
    </row>
    <row r="23" spans="2:28" x14ac:dyDescent="0.25">
      <c r="E23" s="276" t="s">
        <v>12</v>
      </c>
      <c r="F23" s="398"/>
      <c r="G23" s="276"/>
      <c r="H23" s="276"/>
      <c r="I23" s="386">
        <f>SUM(I20:I22)</f>
        <v>1</v>
      </c>
      <c r="J23" s="233">
        <f>SUM(J20:M22)</f>
        <v>1</v>
      </c>
    </row>
    <row r="24" spans="2:28" x14ac:dyDescent="0.25">
      <c r="E24" s="276"/>
      <c r="F24" s="398"/>
      <c r="G24" s="276"/>
      <c r="H24" s="276"/>
      <c r="I24" s="276"/>
    </row>
  </sheetData>
  <mergeCells count="140">
    <mergeCell ref="AB7:AB9"/>
    <mergeCell ref="Z7:Z9"/>
    <mergeCell ref="AA7:AA9"/>
    <mergeCell ref="E7:E9"/>
    <mergeCell ref="F7:F9"/>
    <mergeCell ref="G7:G9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P7:P9"/>
    <mergeCell ref="Q7:Q9"/>
    <mergeCell ref="H7:H9"/>
    <mergeCell ref="B7:B9"/>
    <mergeCell ref="C7:C9"/>
    <mergeCell ref="W7:W9"/>
    <mergeCell ref="X7:X9"/>
    <mergeCell ref="Y7:Y9"/>
    <mergeCell ref="R7:R9"/>
    <mergeCell ref="S7:S9"/>
    <mergeCell ref="T7:T9"/>
    <mergeCell ref="U7:U9"/>
    <mergeCell ref="V7:V9"/>
    <mergeCell ref="M7:M9"/>
    <mergeCell ref="N7:N9"/>
    <mergeCell ref="O7:O9"/>
    <mergeCell ref="I7:I9"/>
    <mergeCell ref="J7:J9"/>
    <mergeCell ref="K7:K9"/>
    <mergeCell ref="L7:L9"/>
    <mergeCell ref="H10:H11"/>
    <mergeCell ref="I10:I11"/>
    <mergeCell ref="J10:J11"/>
    <mergeCell ref="K10:K11"/>
    <mergeCell ref="L10:L11"/>
    <mergeCell ref="B10:B11"/>
    <mergeCell ref="C10:C11"/>
    <mergeCell ref="E10:E11"/>
    <mergeCell ref="F10:F11"/>
    <mergeCell ref="G10:G11"/>
    <mergeCell ref="AA10:AA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S12:S13"/>
    <mergeCell ref="T12:T13"/>
    <mergeCell ref="U12:U13"/>
    <mergeCell ref="V12:V13"/>
    <mergeCell ref="AB10:AB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W10:W11"/>
    <mergeCell ref="X10:X11"/>
    <mergeCell ref="Y10:Y11"/>
    <mergeCell ref="Z10:Z11"/>
    <mergeCell ref="U14:U15"/>
    <mergeCell ref="V14:V15"/>
    <mergeCell ref="AB12:AB13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W12:W13"/>
    <mergeCell ref="X12:X13"/>
    <mergeCell ref="Y12:Y13"/>
    <mergeCell ref="Z12:Z13"/>
    <mergeCell ref="AA12:AA13"/>
    <mergeCell ref="R12:R13"/>
    <mergeCell ref="AB14:AB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W14:W15"/>
    <mergeCell ref="X14:X15"/>
    <mergeCell ref="Y14:Y15"/>
    <mergeCell ref="Z14:Z15"/>
    <mergeCell ref="AA14:AA15"/>
    <mergeCell ref="R14:R15"/>
    <mergeCell ref="S14:S15"/>
    <mergeCell ref="T14:T15"/>
    <mergeCell ref="AB16:AB17"/>
    <mergeCell ref="W16:W17"/>
    <mergeCell ref="X16:X17"/>
    <mergeCell ref="Y16:Y17"/>
    <mergeCell ref="Z16:Z17"/>
    <mergeCell ref="AA16:AA17"/>
    <mergeCell ref="R16:R17"/>
    <mergeCell ref="S16:S17"/>
    <mergeCell ref="T16:T17"/>
    <mergeCell ref="U16:U17"/>
    <mergeCell ref="V16:V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G16"/>
  <sheetViews>
    <sheetView topLeftCell="A7" zoomScale="80" zoomScaleNormal="80" workbookViewId="0">
      <selection activeCell="AG7" sqref="AG7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customWidth="1"/>
    <col min="4" max="4" width="36" customWidth="1"/>
    <col min="5" max="5" width="14.7109375" hidden="1" customWidth="1"/>
    <col min="6" max="6" width="11.42578125" hidden="1" customWidth="1"/>
    <col min="7" max="7" width="13.7109375" customWidth="1"/>
    <col min="8" max="8" width="11.42578125" hidden="1" customWidth="1"/>
    <col min="9" max="9" width="15.140625" hidden="1" customWidth="1"/>
    <col min="10" max="10" width="11.42578125" hidden="1" customWidth="1"/>
    <col min="11" max="11" width="12.85546875" style="276" customWidth="1"/>
    <col min="12" max="12" width="11.42578125" hidden="1" customWidth="1"/>
    <col min="13" max="13" width="21.5703125" hidden="1" customWidth="1"/>
    <col min="14" max="14" width="21.85546875" hidden="1" customWidth="1"/>
    <col min="15" max="15" width="20.5703125" customWidth="1"/>
    <col min="16" max="16" width="1.42578125" hidden="1" customWidth="1"/>
    <col min="17" max="17" width="9" hidden="1" customWidth="1"/>
    <col min="18" max="18" width="20.85546875" hidden="1" customWidth="1"/>
    <col min="19" max="19" width="18.28515625" customWidth="1"/>
    <col min="20" max="20" width="11.42578125" hidden="1" customWidth="1"/>
    <col min="21" max="21" width="21.5703125" hidden="1" customWidth="1"/>
    <col min="22" max="22" width="19.42578125" hidden="1" customWidth="1"/>
    <col min="23" max="23" width="17.42578125" customWidth="1"/>
    <col min="24" max="24" width="13.28515625" hidden="1" customWidth="1"/>
    <col min="25" max="25" width="19.42578125" hidden="1" customWidth="1"/>
    <col min="26" max="26" width="18.42578125" hidden="1" customWidth="1"/>
    <col min="27" max="27" width="19.140625" customWidth="1"/>
    <col min="28" max="28" width="3.28515625" hidden="1" customWidth="1"/>
  </cols>
  <sheetData>
    <row r="2" spans="2:33" ht="15.75" thickBot="1" x14ac:dyDescent="0.3"/>
    <row r="3" spans="2:33" ht="35.25" thickTop="1" thickBot="1" x14ac:dyDescent="0.55000000000000004">
      <c r="B3" s="1552" t="s">
        <v>329</v>
      </c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  <c r="U3" s="1553"/>
      <c r="V3" s="1553"/>
      <c r="W3" s="1553"/>
      <c r="X3" s="1553"/>
      <c r="Y3" s="1553"/>
      <c r="Z3" s="1553"/>
      <c r="AA3" s="1553"/>
      <c r="AB3" s="1554"/>
    </row>
    <row r="4" spans="2:33" ht="18.75" customHeight="1" thickTop="1" thickBot="1" x14ac:dyDescent="0.3"/>
    <row r="5" spans="2:33" ht="65.25" customHeight="1" thickTop="1" x14ac:dyDescent="0.25">
      <c r="B5" s="1094" t="s">
        <v>0</v>
      </c>
      <c r="C5" s="1096" t="s">
        <v>1</v>
      </c>
      <c r="D5" s="1098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056" t="s">
        <v>5</v>
      </c>
      <c r="R5" s="1056"/>
      <c r="S5" s="1056"/>
      <c r="T5" s="1056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33" ht="23.25" customHeight="1" thickBot="1" x14ac:dyDescent="0.3">
      <c r="B6" s="1546"/>
      <c r="C6" s="1547"/>
      <c r="D6" s="1350"/>
      <c r="E6" s="637" t="s">
        <v>8</v>
      </c>
      <c r="F6" s="637" t="s">
        <v>9</v>
      </c>
      <c r="G6" s="637" t="s">
        <v>10</v>
      </c>
      <c r="H6" s="637" t="s">
        <v>11</v>
      </c>
      <c r="I6" s="637" t="s">
        <v>8</v>
      </c>
      <c r="J6" s="637" t="s">
        <v>9</v>
      </c>
      <c r="K6" s="637" t="s">
        <v>10</v>
      </c>
      <c r="L6" s="637" t="s">
        <v>11</v>
      </c>
      <c r="M6" s="637" t="s">
        <v>8</v>
      </c>
      <c r="N6" s="637" t="s">
        <v>9</v>
      </c>
      <c r="O6" s="637" t="s">
        <v>10</v>
      </c>
      <c r="P6" s="637" t="s">
        <v>11</v>
      </c>
      <c r="Q6" s="637" t="s">
        <v>8</v>
      </c>
      <c r="R6" s="637" t="s">
        <v>9</v>
      </c>
      <c r="S6" s="637" t="s">
        <v>10</v>
      </c>
      <c r="T6" s="637" t="s">
        <v>11</v>
      </c>
      <c r="U6" s="637" t="s">
        <v>8</v>
      </c>
      <c r="V6" s="637" t="s">
        <v>9</v>
      </c>
      <c r="W6" s="637" t="s">
        <v>10</v>
      </c>
      <c r="X6" s="637" t="s">
        <v>11</v>
      </c>
      <c r="Y6" s="638" t="s">
        <v>8</v>
      </c>
      <c r="Z6" s="629" t="s">
        <v>9</v>
      </c>
      <c r="AA6" s="674" t="s">
        <v>10</v>
      </c>
      <c r="AB6" s="630" t="s">
        <v>11</v>
      </c>
    </row>
    <row r="7" spans="2:33" s="71" customFormat="1" ht="119.25" customHeight="1" thickTop="1" x14ac:dyDescent="0.25">
      <c r="B7" s="608" t="s">
        <v>232</v>
      </c>
      <c r="C7" s="609">
        <v>0.5</v>
      </c>
      <c r="D7" s="610" t="s">
        <v>233</v>
      </c>
      <c r="E7" s="561">
        <v>0.15</v>
      </c>
      <c r="F7" s="561">
        <v>0.3</v>
      </c>
      <c r="G7" s="561">
        <v>0.5</v>
      </c>
      <c r="H7" s="561">
        <v>1</v>
      </c>
      <c r="I7" s="562">
        <v>0.70840000000000003</v>
      </c>
      <c r="J7" s="562">
        <v>0.81369999999999998</v>
      </c>
      <c r="K7" s="562">
        <v>0.90600000000000003</v>
      </c>
      <c r="L7" s="405"/>
      <c r="M7" s="751">
        <f>+AVERAGE(E7:E7)*$C$7</f>
        <v>7.4999999999999997E-2</v>
      </c>
      <c r="N7" s="751">
        <f>+AVERAGE(F7:F7)*$C$7</f>
        <v>0.15</v>
      </c>
      <c r="O7" s="743">
        <f>+AVERAGE(G7:G7)*$C$7</f>
        <v>0.25</v>
      </c>
      <c r="P7" s="743">
        <f>+AVERAGE(H7:H7)*$C$7</f>
        <v>0.5</v>
      </c>
      <c r="Q7" s="743">
        <f>+AVERAGE(I7:I7)</f>
        <v>0.70840000000000003</v>
      </c>
      <c r="R7" s="743">
        <f>+AVERAGE(J7:J7)</f>
        <v>0.81369999999999998</v>
      </c>
      <c r="S7" s="743">
        <f>+AVERAGE(K7:K7)</f>
        <v>0.90600000000000003</v>
      </c>
      <c r="T7" s="743" t="e">
        <f>+AVERAGE(L7:L7)</f>
        <v>#DIV/0!</v>
      </c>
      <c r="U7" s="743">
        <f>+Q7*$C$7</f>
        <v>0.35420000000000001</v>
      </c>
      <c r="V7" s="743">
        <f>+R7*$C$7</f>
        <v>0.40684999999999999</v>
      </c>
      <c r="W7" s="743">
        <f>+S7*$C$7</f>
        <v>0.45300000000000001</v>
      </c>
      <c r="X7" s="743" t="e">
        <f>+T7*$C$7</f>
        <v>#DIV/0!</v>
      </c>
      <c r="Y7" s="752">
        <f t="shared" ref="Y7:AB8" si="0">+U7/M7</f>
        <v>4.722666666666667</v>
      </c>
      <c r="Z7" s="750">
        <f t="shared" si="0"/>
        <v>2.7123333333333335</v>
      </c>
      <c r="AA7" s="750">
        <f t="shared" si="0"/>
        <v>1.8120000000000001</v>
      </c>
      <c r="AB7" s="902" t="e">
        <f t="shared" si="0"/>
        <v>#DIV/0!</v>
      </c>
      <c r="AG7" s="293">
        <f>+K7/G7</f>
        <v>1.8120000000000001</v>
      </c>
    </row>
    <row r="8" spans="2:33" s="71" customFormat="1" ht="81" customHeight="1" x14ac:dyDescent="0.25">
      <c r="B8" s="1555" t="s">
        <v>234</v>
      </c>
      <c r="C8" s="1557">
        <v>0.5</v>
      </c>
      <c r="D8" s="278" t="s">
        <v>235</v>
      </c>
      <c r="E8" s="464">
        <v>0.15</v>
      </c>
      <c r="F8" s="464">
        <v>0.3</v>
      </c>
      <c r="G8" s="464">
        <v>0.5</v>
      </c>
      <c r="H8" s="464">
        <v>1</v>
      </c>
      <c r="I8" s="468">
        <v>0.70840000000000003</v>
      </c>
      <c r="J8" s="468">
        <v>0.81369999999999998</v>
      </c>
      <c r="K8" s="468">
        <v>0.90600000000000003</v>
      </c>
      <c r="L8" s="149"/>
      <c r="M8" s="1081">
        <f>+AVERAGE(E8:E8)*$C$8</f>
        <v>7.4999999999999997E-2</v>
      </c>
      <c r="N8" s="1081">
        <f>+AVERAGE(F8:F8)*$C$8</f>
        <v>0.15</v>
      </c>
      <c r="O8" s="1472">
        <f>+AVERAGE(G8:G8)*$C$8</f>
        <v>0.25</v>
      </c>
      <c r="P8" s="1472">
        <f>+AVERAGE(H8:H8)*$C$8</f>
        <v>0.5</v>
      </c>
      <c r="Q8" s="1472">
        <f>+AVERAGE(I8:I9)</f>
        <v>0.501</v>
      </c>
      <c r="R8" s="1472">
        <f>+AVERAGE(J8:J9)</f>
        <v>0.65684999999999993</v>
      </c>
      <c r="S8" s="1472">
        <f>+AVERAGE(K8:K9)</f>
        <v>0.78500000000000003</v>
      </c>
      <c r="T8" s="1472" t="e">
        <f>+AVERAGE(L8:L9)</f>
        <v>#DIV/0!</v>
      </c>
      <c r="U8" s="1472">
        <f>+Q8*$C$8</f>
        <v>0.2505</v>
      </c>
      <c r="V8" s="1472">
        <f>+R8*$C$8</f>
        <v>0.32842499999999997</v>
      </c>
      <c r="W8" s="1472">
        <f>+S8*$C$8</f>
        <v>0.39250000000000002</v>
      </c>
      <c r="X8" s="1472" t="e">
        <f>+T8*$C$8</f>
        <v>#DIV/0!</v>
      </c>
      <c r="Y8" s="1559">
        <f t="shared" si="0"/>
        <v>3.3400000000000003</v>
      </c>
      <c r="Z8" s="1474">
        <f t="shared" si="0"/>
        <v>2.1894999999999998</v>
      </c>
      <c r="AA8" s="1474">
        <f t="shared" si="0"/>
        <v>1.57</v>
      </c>
      <c r="AB8" s="1318" t="e">
        <f t="shared" si="0"/>
        <v>#DIV/0!</v>
      </c>
    </row>
    <row r="9" spans="2:33" ht="214.5" customHeight="1" thickBot="1" x14ac:dyDescent="0.3">
      <c r="B9" s="1556"/>
      <c r="C9" s="1558"/>
      <c r="D9" s="465" t="s">
        <v>236</v>
      </c>
      <c r="E9" s="466">
        <v>0.25</v>
      </c>
      <c r="F9" s="466">
        <v>0.5</v>
      </c>
      <c r="G9" s="466">
        <v>0.75</v>
      </c>
      <c r="H9" s="466">
        <v>1</v>
      </c>
      <c r="I9" s="469">
        <v>0.29360000000000003</v>
      </c>
      <c r="J9" s="469">
        <v>0.5</v>
      </c>
      <c r="K9" s="904">
        <v>0.66400000000000003</v>
      </c>
      <c r="L9" s="467"/>
      <c r="M9" s="1406"/>
      <c r="N9" s="1406"/>
      <c r="O9" s="1104"/>
      <c r="P9" s="1104"/>
      <c r="Q9" s="1104"/>
      <c r="R9" s="1104"/>
      <c r="S9" s="1104"/>
      <c r="T9" s="1104"/>
      <c r="U9" s="1104"/>
      <c r="V9" s="1104"/>
      <c r="W9" s="1104"/>
      <c r="X9" s="1104"/>
      <c r="Y9" s="1110"/>
      <c r="Z9" s="1112"/>
      <c r="AA9" s="1112"/>
      <c r="AB9" s="1319"/>
    </row>
    <row r="10" spans="2:33" s="599" customFormat="1" ht="23.25" customHeight="1" thickTop="1" thickBot="1" x14ac:dyDescent="0.3">
      <c r="B10" s="682" t="s">
        <v>12</v>
      </c>
      <c r="C10" s="688">
        <f>SUM(C7:C9)</f>
        <v>1</v>
      </c>
      <c r="D10" s="684"/>
      <c r="E10" s="685"/>
      <c r="F10" s="685"/>
      <c r="G10" s="685"/>
      <c r="H10" s="685"/>
      <c r="I10" s="685"/>
      <c r="J10" s="685"/>
      <c r="K10" s="685"/>
      <c r="L10" s="685"/>
      <c r="M10" s="685">
        <f>SUM(M7:M9)</f>
        <v>0.15</v>
      </c>
      <c r="N10" s="685">
        <f>SUM(N7:N9)</f>
        <v>0.3</v>
      </c>
      <c r="O10" s="685">
        <f>SUM(O7:O9)</f>
        <v>0.5</v>
      </c>
      <c r="P10" s="685">
        <f>SUM(P7:P9)</f>
        <v>1</v>
      </c>
      <c r="Q10" s="686"/>
      <c r="R10" s="686"/>
      <c r="S10" s="686"/>
      <c r="T10" s="686"/>
      <c r="U10" s="685">
        <f>SUM(U7:U9)</f>
        <v>0.60470000000000002</v>
      </c>
      <c r="V10" s="685">
        <f>SUM(V7:V9)</f>
        <v>0.7352749999999999</v>
      </c>
      <c r="W10" s="685">
        <f>SUM(W7:W9)</f>
        <v>0.84550000000000003</v>
      </c>
      <c r="X10" s="685" t="e">
        <f>SUM(X7:X9)</f>
        <v>#DIV/0!</v>
      </c>
      <c r="Y10" s="689">
        <f>+U10/M10</f>
        <v>4.0313333333333334</v>
      </c>
      <c r="Z10" s="690">
        <f>+V10/N10</f>
        <v>2.4509166666666666</v>
      </c>
      <c r="AA10" s="690">
        <f>SUM(AA7:AA9)</f>
        <v>3.3820000000000001</v>
      </c>
      <c r="AB10" s="903" t="e">
        <f>SUM(AB7:AB9)</f>
        <v>#DIV/0!</v>
      </c>
    </row>
    <row r="11" spans="2:33" ht="15.75" thickTop="1" x14ac:dyDescent="0.25"/>
    <row r="12" spans="2:33" x14ac:dyDescent="0.25">
      <c r="E12" s="283" t="s">
        <v>129</v>
      </c>
      <c r="H12" s="228"/>
      <c r="I12" s="388">
        <f>3/3</f>
        <v>1</v>
      </c>
      <c r="J12" s="228"/>
      <c r="K12" s="905">
        <f>2/3</f>
        <v>0.66666666666666663</v>
      </c>
    </row>
    <row r="13" spans="2:33" x14ac:dyDescent="0.25">
      <c r="E13" s="284" t="s">
        <v>130</v>
      </c>
      <c r="H13" s="229"/>
      <c r="I13" s="387">
        <v>0</v>
      </c>
      <c r="J13" s="229"/>
      <c r="K13" s="395">
        <v>0</v>
      </c>
    </row>
    <row r="14" spans="2:33" x14ac:dyDescent="0.25">
      <c r="E14" s="391" t="s">
        <v>131</v>
      </c>
      <c r="H14" s="392"/>
      <c r="I14" s="393">
        <v>0</v>
      </c>
      <c r="J14" s="392"/>
      <c r="K14" s="551">
        <f>1/3</f>
        <v>0.33333333333333331</v>
      </c>
    </row>
    <row r="15" spans="2:33" x14ac:dyDescent="0.25">
      <c r="I15" s="386">
        <f>SUM(I12:I14)</f>
        <v>1</v>
      </c>
      <c r="K15" s="386">
        <f>SUM(K12:K14)</f>
        <v>1</v>
      </c>
    </row>
    <row r="16" spans="2:33" x14ac:dyDescent="0.25">
      <c r="I16" s="276"/>
    </row>
  </sheetData>
  <mergeCells count="28">
    <mergeCell ref="Z8:Z9"/>
    <mergeCell ref="AA8:AA9"/>
    <mergeCell ref="AB8:AB9"/>
    <mergeCell ref="U8:U9"/>
    <mergeCell ref="V8:V9"/>
    <mergeCell ref="W8:W9"/>
    <mergeCell ref="X8:X9"/>
    <mergeCell ref="Y8:Y9"/>
    <mergeCell ref="P8:P9"/>
    <mergeCell ref="Q8:Q9"/>
    <mergeCell ref="R8:R9"/>
    <mergeCell ref="S8:S9"/>
    <mergeCell ref="T8:T9"/>
    <mergeCell ref="B8:B9"/>
    <mergeCell ref="C8:C9"/>
    <mergeCell ref="M8:M9"/>
    <mergeCell ref="N8:N9"/>
    <mergeCell ref="O8:O9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B28"/>
  <sheetViews>
    <sheetView topLeftCell="A16" zoomScale="80" zoomScaleNormal="80" workbookViewId="0">
      <selection activeCell="AF10" sqref="AF10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customWidth="1"/>
    <col min="4" max="4" width="36" customWidth="1"/>
    <col min="6" max="8" width="0" hidden="1" customWidth="1"/>
    <col min="10" max="12" width="0" hidden="1" customWidth="1"/>
    <col min="14" max="16" width="0" hidden="1" customWidth="1"/>
    <col min="18" max="20" width="0" hidden="1" customWidth="1"/>
    <col min="22" max="24" width="0" hidden="1" customWidth="1"/>
    <col min="26" max="28" width="0" hidden="1" customWidth="1"/>
  </cols>
  <sheetData>
    <row r="3" spans="2:28" ht="28.5" x14ac:dyDescent="0.45">
      <c r="B3" s="1065" t="s">
        <v>109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</row>
    <row r="4" spans="2:28" ht="23.25" customHeight="1" x14ac:dyDescent="0.25"/>
    <row r="5" spans="2:28" ht="39.75" customHeight="1" x14ac:dyDescent="0.25">
      <c r="B5" s="1066" t="s">
        <v>0</v>
      </c>
      <c r="C5" s="1067" t="s">
        <v>1</v>
      </c>
      <c r="D5" s="1066" t="s">
        <v>2</v>
      </c>
      <c r="E5" s="1068" t="s">
        <v>3</v>
      </c>
      <c r="F5" s="1069"/>
      <c r="G5" s="1069"/>
      <c r="H5" s="1069"/>
      <c r="I5" s="1068" t="s">
        <v>4</v>
      </c>
      <c r="J5" s="1069"/>
      <c r="K5" s="1069"/>
      <c r="L5" s="1069"/>
      <c r="M5" s="1068" t="s">
        <v>16</v>
      </c>
      <c r="N5" s="1068"/>
      <c r="O5" s="1068"/>
      <c r="P5" s="1068"/>
      <c r="Q5" s="1068" t="s">
        <v>5</v>
      </c>
      <c r="R5" s="1068"/>
      <c r="S5" s="1068"/>
      <c r="T5" s="1068"/>
      <c r="U5" s="1068" t="s">
        <v>6</v>
      </c>
      <c r="V5" s="1068"/>
      <c r="W5" s="1068"/>
      <c r="X5" s="1068"/>
      <c r="Y5" s="1068" t="s">
        <v>7</v>
      </c>
      <c r="Z5" s="1068"/>
      <c r="AA5" s="1068"/>
      <c r="AB5" s="1068"/>
    </row>
    <row r="6" spans="2:28" x14ac:dyDescent="0.25">
      <c r="B6" s="1066"/>
      <c r="C6" s="1067"/>
      <c r="D6" s="1066"/>
      <c r="E6" s="266" t="s">
        <v>8</v>
      </c>
      <c r="F6" s="266" t="s">
        <v>9</v>
      </c>
      <c r="G6" s="266" t="s">
        <v>10</v>
      </c>
      <c r="H6" s="266" t="s">
        <v>11</v>
      </c>
      <c r="I6" s="266" t="s">
        <v>8</v>
      </c>
      <c r="J6" s="266" t="s">
        <v>9</v>
      </c>
      <c r="K6" s="266" t="s">
        <v>10</v>
      </c>
      <c r="L6" s="266" t="s">
        <v>11</v>
      </c>
      <c r="M6" s="266" t="s">
        <v>8</v>
      </c>
      <c r="N6" s="266" t="s">
        <v>9</v>
      </c>
      <c r="O6" s="266" t="s">
        <v>10</v>
      </c>
      <c r="P6" s="266" t="s">
        <v>11</v>
      </c>
      <c r="Q6" s="266" t="s">
        <v>8</v>
      </c>
      <c r="R6" s="266" t="s">
        <v>9</v>
      </c>
      <c r="S6" s="266" t="s">
        <v>10</v>
      </c>
      <c r="T6" s="266" t="s">
        <v>11</v>
      </c>
      <c r="U6" s="266" t="s">
        <v>8</v>
      </c>
      <c r="V6" s="266" t="s">
        <v>9</v>
      </c>
      <c r="W6" s="266" t="s">
        <v>10</v>
      </c>
      <c r="X6" s="266" t="s">
        <v>11</v>
      </c>
      <c r="Y6" s="266" t="s">
        <v>8</v>
      </c>
      <c r="Z6" s="266" t="s">
        <v>9</v>
      </c>
      <c r="AA6" s="266" t="s">
        <v>10</v>
      </c>
      <c r="AB6" s="266" t="s">
        <v>11</v>
      </c>
    </row>
    <row r="7" spans="2:28" s="71" customFormat="1" ht="50.25" customHeight="1" x14ac:dyDescent="0.25">
      <c r="B7" s="1418" t="s">
        <v>110</v>
      </c>
      <c r="C7" s="1421">
        <v>0.2</v>
      </c>
      <c r="D7" s="267" t="s">
        <v>114</v>
      </c>
      <c r="E7" s="268">
        <v>0.25</v>
      </c>
      <c r="F7" s="164">
        <v>0.5</v>
      </c>
      <c r="G7" s="164">
        <v>0.75</v>
      </c>
      <c r="H7" s="165">
        <v>1</v>
      </c>
      <c r="I7" s="256">
        <v>0.73599999999999999</v>
      </c>
      <c r="J7" s="164"/>
      <c r="K7" s="164"/>
      <c r="L7" s="165"/>
      <c r="M7" s="1044">
        <f>+AVERAGE(E7:E10)*$C$7</f>
        <v>3.4999999999999996E-2</v>
      </c>
      <c r="N7" s="1045">
        <f>+AVERAGE(F7:F10)*$C$7</f>
        <v>0.09</v>
      </c>
      <c r="O7" s="1045">
        <f>+AVERAGE(G7:G10)*$C$7</f>
        <v>0.14500000000000002</v>
      </c>
      <c r="P7" s="1051">
        <f>+AVERAGE(H7:H10)*$C$7</f>
        <v>0.2</v>
      </c>
      <c r="Q7" s="1044">
        <f>+AVERAGE(I7:I10)</f>
        <v>1.0465</v>
      </c>
      <c r="R7" s="1045" t="e">
        <f>+AVERAGE(J7:J10)</f>
        <v>#DIV/0!</v>
      </c>
      <c r="S7" s="1045" t="e">
        <f>+AVERAGE(K7:K10)</f>
        <v>#DIV/0!</v>
      </c>
      <c r="T7" s="1049" t="e">
        <f>+AVERAGE(L7:L10)</f>
        <v>#DIV/0!</v>
      </c>
      <c r="U7" s="1050">
        <f>+Q7*$C$7</f>
        <v>0.20930000000000001</v>
      </c>
      <c r="V7" s="1045" t="e">
        <f>+R7*$C$7</f>
        <v>#DIV/0!</v>
      </c>
      <c r="W7" s="1045" t="e">
        <f>+S7*$C$7</f>
        <v>#DIV/0!</v>
      </c>
      <c r="X7" s="1049" t="e">
        <f>+T7*$C$7</f>
        <v>#DIV/0!</v>
      </c>
      <c r="Y7" s="1044">
        <f>+U7/M7</f>
        <v>5.9800000000000013</v>
      </c>
      <c r="Z7" s="1045" t="e">
        <f>+V7/N7</f>
        <v>#DIV/0!</v>
      </c>
      <c r="AA7" s="1045" t="e">
        <f>+W7/O7</f>
        <v>#DIV/0!</v>
      </c>
      <c r="AB7" s="1049" t="e">
        <f>+X7/P7</f>
        <v>#DIV/0!</v>
      </c>
    </row>
    <row r="8" spans="2:28" s="71" customFormat="1" ht="66.75" customHeight="1" x14ac:dyDescent="0.25">
      <c r="B8" s="1419"/>
      <c r="C8" s="1010"/>
      <c r="D8" s="141" t="s">
        <v>115</v>
      </c>
      <c r="E8" s="208">
        <v>0.25</v>
      </c>
      <c r="F8" s="149">
        <v>0.5</v>
      </c>
      <c r="G8" s="149">
        <v>0.75</v>
      </c>
      <c r="H8" s="150">
        <v>1</v>
      </c>
      <c r="I8" s="252">
        <v>1.6</v>
      </c>
      <c r="J8" s="149"/>
      <c r="K8" s="149"/>
      <c r="L8" s="150"/>
      <c r="M8" s="1013"/>
      <c r="N8" s="1016"/>
      <c r="O8" s="1016"/>
      <c r="P8" s="1052"/>
      <c r="Q8" s="1013"/>
      <c r="R8" s="1016"/>
      <c r="S8" s="1016"/>
      <c r="T8" s="1019"/>
      <c r="U8" s="1022"/>
      <c r="V8" s="1016"/>
      <c r="W8" s="1016"/>
      <c r="X8" s="1019"/>
      <c r="Y8" s="1013"/>
      <c r="Z8" s="1016"/>
      <c r="AA8" s="1016"/>
      <c r="AB8" s="1019"/>
    </row>
    <row r="9" spans="2:28" s="71" customFormat="1" ht="52.5" customHeight="1" x14ac:dyDescent="0.25">
      <c r="B9" s="1419"/>
      <c r="C9" s="1010"/>
      <c r="D9" s="141" t="s">
        <v>116</v>
      </c>
      <c r="E9" s="208">
        <v>0.1</v>
      </c>
      <c r="F9" s="149">
        <v>0.4</v>
      </c>
      <c r="G9" s="149">
        <v>0.7</v>
      </c>
      <c r="H9" s="150">
        <v>1</v>
      </c>
      <c r="I9" s="252">
        <v>1.75</v>
      </c>
      <c r="J9" s="149"/>
      <c r="K9" s="149"/>
      <c r="L9" s="150"/>
      <c r="M9" s="1013"/>
      <c r="N9" s="1016"/>
      <c r="O9" s="1016"/>
      <c r="P9" s="1052"/>
      <c r="Q9" s="1013"/>
      <c r="R9" s="1016"/>
      <c r="S9" s="1016"/>
      <c r="T9" s="1019"/>
      <c r="U9" s="1022"/>
      <c r="V9" s="1016"/>
      <c r="W9" s="1016"/>
      <c r="X9" s="1019"/>
      <c r="Y9" s="1013"/>
      <c r="Z9" s="1016"/>
      <c r="AA9" s="1016"/>
      <c r="AB9" s="1019"/>
    </row>
    <row r="10" spans="2:28" s="71" customFormat="1" ht="51" customHeight="1" thickBot="1" x14ac:dyDescent="0.3">
      <c r="B10" s="1419"/>
      <c r="C10" s="1010"/>
      <c r="D10" s="144" t="s">
        <v>117</v>
      </c>
      <c r="E10" s="209">
        <v>0.1</v>
      </c>
      <c r="F10" s="128">
        <v>0.4</v>
      </c>
      <c r="G10" s="128">
        <v>0.7</v>
      </c>
      <c r="H10" s="129">
        <v>1</v>
      </c>
      <c r="I10" s="252">
        <v>0.1</v>
      </c>
      <c r="J10" s="149"/>
      <c r="K10" s="149"/>
      <c r="L10" s="150"/>
      <c r="M10" s="1013"/>
      <c r="N10" s="1016"/>
      <c r="O10" s="1016"/>
      <c r="P10" s="1052"/>
      <c r="Q10" s="1013"/>
      <c r="R10" s="1016"/>
      <c r="S10" s="1016"/>
      <c r="T10" s="1019"/>
      <c r="U10" s="1022"/>
      <c r="V10" s="1016"/>
      <c r="W10" s="1016"/>
      <c r="X10" s="1019"/>
      <c r="Y10" s="1013"/>
      <c r="Z10" s="1016"/>
      <c r="AA10" s="1016"/>
      <c r="AB10" s="1019"/>
    </row>
    <row r="11" spans="2:28" ht="81.75" customHeight="1" x14ac:dyDescent="0.25">
      <c r="B11" s="1326" t="s">
        <v>111</v>
      </c>
      <c r="C11" s="1041">
        <v>0.3</v>
      </c>
      <c r="D11" s="140" t="s">
        <v>118</v>
      </c>
      <c r="E11" s="207">
        <v>0.25</v>
      </c>
      <c r="F11" s="126">
        <v>0.5</v>
      </c>
      <c r="G11" s="126">
        <v>0.75</v>
      </c>
      <c r="H11" s="127">
        <v>1</v>
      </c>
      <c r="I11" s="254">
        <v>0.25</v>
      </c>
      <c r="J11" s="155"/>
      <c r="K11" s="155"/>
      <c r="L11" s="156"/>
      <c r="M11" s="1012">
        <f>+AVERAGE(E11:E12)*$C$11</f>
        <v>7.4999999999999997E-2</v>
      </c>
      <c r="N11" s="1015">
        <f>+AVERAGE(F11:F12)*$C$11</f>
        <v>0.15</v>
      </c>
      <c r="O11" s="1015">
        <f>+AVERAGE(G11:G12)*$C$11</f>
        <v>0.22499999999999998</v>
      </c>
      <c r="P11" s="1085">
        <f>+AVERAGE(H11:H12)*$C$11</f>
        <v>0.3</v>
      </c>
      <c r="Q11" s="1012">
        <f>+AVERAGE(I11:I12)</f>
        <v>0.26450000000000001</v>
      </c>
      <c r="R11" s="1015" t="e">
        <f>+AVERAGE(J11:J12)</f>
        <v>#DIV/0!</v>
      </c>
      <c r="S11" s="1015" t="e">
        <f>+AVERAGE(K11:K12)</f>
        <v>#DIV/0!</v>
      </c>
      <c r="T11" s="1085" t="e">
        <f>+AVERAGE(L11:L12)</f>
        <v>#DIV/0!</v>
      </c>
      <c r="U11" s="1012">
        <f>+Q11*$C$11</f>
        <v>7.9350000000000004E-2</v>
      </c>
      <c r="V11" s="1015" t="e">
        <f>+R11*$C$11</f>
        <v>#DIV/0!</v>
      </c>
      <c r="W11" s="1015" t="e">
        <f>+S11*$C$11</f>
        <v>#DIV/0!</v>
      </c>
      <c r="X11" s="1085" t="e">
        <f>+T11*$C$11</f>
        <v>#DIV/0!</v>
      </c>
      <c r="Y11" s="1012">
        <f>+U11/M11</f>
        <v>1.0580000000000001</v>
      </c>
      <c r="Z11" s="1015" t="e">
        <f>+V11/N11</f>
        <v>#DIV/0!</v>
      </c>
      <c r="AA11" s="1015" t="e">
        <f>+W11/O11</f>
        <v>#DIV/0!</v>
      </c>
      <c r="AB11" s="1018" t="e">
        <f>+X11/P11</f>
        <v>#DIV/0!</v>
      </c>
    </row>
    <row r="12" spans="2:28" ht="87.75" customHeight="1" thickBot="1" x14ac:dyDescent="0.3">
      <c r="B12" s="1327"/>
      <c r="C12" s="1042"/>
      <c r="D12" s="145" t="s">
        <v>119</v>
      </c>
      <c r="E12" s="210">
        <v>0.25</v>
      </c>
      <c r="F12" s="211">
        <v>0.5</v>
      </c>
      <c r="G12" s="211">
        <v>0.75</v>
      </c>
      <c r="H12" s="212">
        <v>1</v>
      </c>
      <c r="I12" s="241">
        <v>0.27900000000000003</v>
      </c>
      <c r="J12" s="158"/>
      <c r="K12" s="158"/>
      <c r="L12" s="159"/>
      <c r="M12" s="1013"/>
      <c r="N12" s="1016"/>
      <c r="O12" s="1016"/>
      <c r="P12" s="1052"/>
      <c r="Q12" s="1013"/>
      <c r="R12" s="1016"/>
      <c r="S12" s="1016"/>
      <c r="T12" s="1052"/>
      <c r="U12" s="1013"/>
      <c r="V12" s="1016"/>
      <c r="W12" s="1016"/>
      <c r="X12" s="1052"/>
      <c r="Y12" s="1013"/>
      <c r="Z12" s="1016"/>
      <c r="AA12" s="1016"/>
      <c r="AB12" s="1019"/>
    </row>
    <row r="13" spans="2:28" ht="84" customHeight="1" thickBot="1" x14ac:dyDescent="0.3">
      <c r="B13" s="134" t="s">
        <v>112</v>
      </c>
      <c r="C13" s="130">
        <v>0.2</v>
      </c>
      <c r="D13" s="146" t="s">
        <v>120</v>
      </c>
      <c r="E13" s="213">
        <v>0.4</v>
      </c>
      <c r="F13" s="214">
        <v>0.65</v>
      </c>
      <c r="G13" s="214">
        <v>0.8</v>
      </c>
      <c r="H13" s="215">
        <v>1</v>
      </c>
      <c r="I13" s="260">
        <v>0.78</v>
      </c>
      <c r="J13" s="123"/>
      <c r="K13" s="123"/>
      <c r="L13" s="124"/>
      <c r="M13" s="136">
        <f>+AVERAGE(E13:E13)*$C$13</f>
        <v>8.0000000000000016E-2</v>
      </c>
      <c r="N13" s="131">
        <f>+AVERAGE(F13:F13)*$C$13</f>
        <v>0.13</v>
      </c>
      <c r="O13" s="132">
        <f>+AVERAGE(G13:G13)*$C$13</f>
        <v>0.16000000000000003</v>
      </c>
      <c r="P13" s="133">
        <f>+AVERAGE(H13:H13)*$C$13</f>
        <v>0.2</v>
      </c>
      <c r="Q13" s="136">
        <f>+AVERAGE(I13:I13)</f>
        <v>0.78</v>
      </c>
      <c r="R13" s="132" t="e">
        <f>+AVERAGE(J13:J13)</f>
        <v>#DIV/0!</v>
      </c>
      <c r="S13" s="132" t="e">
        <f>+AVERAGE(K13:K13)</f>
        <v>#DIV/0!</v>
      </c>
      <c r="T13" s="133" t="e">
        <f>+AVERAGE(L13:L13)</f>
        <v>#DIV/0!</v>
      </c>
      <c r="U13" s="131">
        <f>+Q13*$C$13</f>
        <v>0.15600000000000003</v>
      </c>
      <c r="V13" s="132" t="e">
        <f>+R13*$C$13</f>
        <v>#DIV/0!</v>
      </c>
      <c r="W13" s="132" t="e">
        <f>+S13*$C$13</f>
        <v>#DIV/0!</v>
      </c>
      <c r="X13" s="135" t="e">
        <f>+T13*$C$13</f>
        <v>#DIV/0!</v>
      </c>
      <c r="Y13" s="136">
        <f t="shared" ref="Y13:AB14" si="0">+U13/M13</f>
        <v>1.95</v>
      </c>
      <c r="Z13" s="132" t="e">
        <f t="shared" si="0"/>
        <v>#DIV/0!</v>
      </c>
      <c r="AA13" s="132" t="e">
        <f t="shared" si="0"/>
        <v>#DIV/0!</v>
      </c>
      <c r="AB13" s="133" t="e">
        <f t="shared" si="0"/>
        <v>#DIV/0!</v>
      </c>
    </row>
    <row r="14" spans="2:28" ht="46.5" customHeight="1" x14ac:dyDescent="0.25">
      <c r="B14" s="1326" t="s">
        <v>113</v>
      </c>
      <c r="C14" s="1560">
        <v>0.3</v>
      </c>
      <c r="D14" s="147" t="s">
        <v>121</v>
      </c>
      <c r="E14" s="216">
        <v>0.25</v>
      </c>
      <c r="F14" s="217">
        <v>0.5</v>
      </c>
      <c r="G14" s="217">
        <v>0.75</v>
      </c>
      <c r="H14" s="218">
        <v>1</v>
      </c>
      <c r="I14" s="274">
        <v>0.25</v>
      </c>
      <c r="J14" s="126"/>
      <c r="K14" s="126"/>
      <c r="L14" s="127"/>
      <c r="M14" s="1012">
        <f>+AVERAGE(E14:E21)*$C$14</f>
        <v>6.9375000000000006E-2</v>
      </c>
      <c r="N14" s="1015">
        <f>+AVERAGE(F14:F21)*$C$14</f>
        <v>0.14624999999999999</v>
      </c>
      <c r="O14" s="1015">
        <f>+AVERAGE(G14:G21)*$C$14</f>
        <v>0.22312499999999999</v>
      </c>
      <c r="P14" s="1018">
        <f>+AVERAGE(H14:H21)*$C$14</f>
        <v>0.3</v>
      </c>
      <c r="Q14" s="1012">
        <f>+AVERAGE(I14:I21)</f>
        <v>0.85987499999999994</v>
      </c>
      <c r="R14" s="1015">
        <f>+AVERAGE(I14:I21)</f>
        <v>0.85987499999999994</v>
      </c>
      <c r="S14" s="1015" t="e">
        <f>+AVERAGE(K14:K21)</f>
        <v>#DIV/0!</v>
      </c>
      <c r="T14" s="1018" t="e">
        <f>+AVERAGE(L14:L21)</f>
        <v>#DIV/0!</v>
      </c>
      <c r="U14" s="1012">
        <f>+Q14*$C$14</f>
        <v>0.25796249999999998</v>
      </c>
      <c r="V14" s="1015">
        <f>+R14*$C$14</f>
        <v>0.25796249999999998</v>
      </c>
      <c r="W14" s="1015" t="e">
        <f>+S14*$C$14</f>
        <v>#DIV/0!</v>
      </c>
      <c r="X14" s="1018" t="e">
        <f>+T14*$C$14</f>
        <v>#DIV/0!</v>
      </c>
      <c r="Y14" s="1012">
        <f t="shared" si="0"/>
        <v>3.7183783783783779</v>
      </c>
      <c r="Z14" s="1015">
        <f t="shared" si="0"/>
        <v>1.7638461538461538</v>
      </c>
      <c r="AA14" s="1015" t="e">
        <f t="shared" si="0"/>
        <v>#DIV/0!</v>
      </c>
      <c r="AB14" s="1018" t="e">
        <f t="shared" si="0"/>
        <v>#DIV/0!</v>
      </c>
    </row>
    <row r="15" spans="2:28" ht="46.5" customHeight="1" x14ac:dyDescent="0.25">
      <c r="B15" s="1327"/>
      <c r="C15" s="1561"/>
      <c r="D15" s="142" t="s">
        <v>122</v>
      </c>
      <c r="E15" s="219">
        <v>0.1</v>
      </c>
      <c r="F15" s="220">
        <v>0.4</v>
      </c>
      <c r="G15" s="220">
        <v>0.7</v>
      </c>
      <c r="H15" s="221">
        <v>1</v>
      </c>
      <c r="I15" s="262">
        <v>0.1</v>
      </c>
      <c r="J15" s="149"/>
      <c r="K15" s="149"/>
      <c r="L15" s="150"/>
      <c r="M15" s="1324"/>
      <c r="N15" s="1083"/>
      <c r="O15" s="1083"/>
      <c r="P15" s="1084"/>
      <c r="Q15" s="1324"/>
      <c r="R15" s="1083"/>
      <c r="S15" s="1083"/>
      <c r="T15" s="1084"/>
      <c r="U15" s="1324"/>
      <c r="V15" s="1083"/>
      <c r="W15" s="1083"/>
      <c r="X15" s="1084"/>
      <c r="Y15" s="1324"/>
      <c r="Z15" s="1083"/>
      <c r="AA15" s="1083"/>
      <c r="AB15" s="1084"/>
    </row>
    <row r="16" spans="2:28" ht="46.5" customHeight="1" x14ac:dyDescent="0.25">
      <c r="B16" s="1327"/>
      <c r="C16" s="1561"/>
      <c r="D16" s="142" t="s">
        <v>123</v>
      </c>
      <c r="E16" s="219">
        <v>0.25</v>
      </c>
      <c r="F16" s="220">
        <v>0.5</v>
      </c>
      <c r="G16" s="220">
        <v>0.75</v>
      </c>
      <c r="H16" s="221">
        <v>1</v>
      </c>
      <c r="I16" s="261">
        <v>0.155</v>
      </c>
      <c r="J16" s="149"/>
      <c r="K16" s="149"/>
      <c r="L16" s="150"/>
      <c r="M16" s="1324"/>
      <c r="N16" s="1083"/>
      <c r="O16" s="1083"/>
      <c r="P16" s="1084"/>
      <c r="Q16" s="1324"/>
      <c r="R16" s="1083"/>
      <c r="S16" s="1083"/>
      <c r="T16" s="1084"/>
      <c r="U16" s="1324"/>
      <c r="V16" s="1083"/>
      <c r="W16" s="1083"/>
      <c r="X16" s="1084"/>
      <c r="Y16" s="1324"/>
      <c r="Z16" s="1083"/>
      <c r="AA16" s="1083"/>
      <c r="AB16" s="1084"/>
    </row>
    <row r="17" spans="2:28" ht="43.5" customHeight="1" x14ac:dyDescent="0.25">
      <c r="B17" s="1327"/>
      <c r="C17" s="1561"/>
      <c r="D17" s="142" t="s">
        <v>124</v>
      </c>
      <c r="E17" s="219">
        <v>0.25</v>
      </c>
      <c r="F17" s="220">
        <v>0.5</v>
      </c>
      <c r="G17" s="220">
        <v>0.75</v>
      </c>
      <c r="H17" s="221">
        <v>1</v>
      </c>
      <c r="I17" s="262">
        <v>1.03</v>
      </c>
      <c r="J17" s="149"/>
      <c r="K17" s="149"/>
      <c r="L17" s="150"/>
      <c r="M17" s="1324"/>
      <c r="N17" s="1083"/>
      <c r="O17" s="1083"/>
      <c r="P17" s="1084"/>
      <c r="Q17" s="1324"/>
      <c r="R17" s="1083"/>
      <c r="S17" s="1083"/>
      <c r="T17" s="1084"/>
      <c r="U17" s="1324"/>
      <c r="V17" s="1083"/>
      <c r="W17" s="1083"/>
      <c r="X17" s="1084"/>
      <c r="Y17" s="1324"/>
      <c r="Z17" s="1083"/>
      <c r="AA17" s="1083"/>
      <c r="AB17" s="1084"/>
    </row>
    <row r="18" spans="2:28" ht="46.5" customHeight="1" x14ac:dyDescent="0.25">
      <c r="B18" s="1327"/>
      <c r="C18" s="1561"/>
      <c r="D18" s="142" t="s">
        <v>125</v>
      </c>
      <c r="E18" s="219">
        <v>0.25</v>
      </c>
      <c r="F18" s="220">
        <v>0.5</v>
      </c>
      <c r="G18" s="220">
        <v>0.75</v>
      </c>
      <c r="H18" s="221">
        <v>1</v>
      </c>
      <c r="I18" s="262">
        <v>0.90400000000000003</v>
      </c>
      <c r="J18" s="149"/>
      <c r="K18" s="149"/>
      <c r="L18" s="150"/>
      <c r="M18" s="1324"/>
      <c r="N18" s="1083"/>
      <c r="O18" s="1083"/>
      <c r="P18" s="1084"/>
      <c r="Q18" s="1324"/>
      <c r="R18" s="1083"/>
      <c r="S18" s="1083"/>
      <c r="T18" s="1084"/>
      <c r="U18" s="1324"/>
      <c r="V18" s="1083"/>
      <c r="W18" s="1083"/>
      <c r="X18" s="1084"/>
      <c r="Y18" s="1324"/>
      <c r="Z18" s="1083"/>
      <c r="AA18" s="1083"/>
      <c r="AB18" s="1084"/>
    </row>
    <row r="19" spans="2:28" ht="59.25" customHeight="1" x14ac:dyDescent="0.25">
      <c r="B19" s="1327"/>
      <c r="C19" s="1561"/>
      <c r="D19" s="142" t="s">
        <v>126</v>
      </c>
      <c r="E19" s="219">
        <v>0.25</v>
      </c>
      <c r="F19" s="220">
        <v>0.5</v>
      </c>
      <c r="G19" s="220">
        <v>0.75</v>
      </c>
      <c r="H19" s="221">
        <v>1</v>
      </c>
      <c r="I19" s="262">
        <v>0.44159999999999999</v>
      </c>
      <c r="J19" s="149"/>
      <c r="K19" s="149"/>
      <c r="L19" s="150"/>
      <c r="M19" s="1324"/>
      <c r="N19" s="1083"/>
      <c r="O19" s="1083"/>
      <c r="P19" s="1084"/>
      <c r="Q19" s="1324"/>
      <c r="R19" s="1083"/>
      <c r="S19" s="1083"/>
      <c r="T19" s="1084"/>
      <c r="U19" s="1324"/>
      <c r="V19" s="1083"/>
      <c r="W19" s="1083"/>
      <c r="X19" s="1084"/>
      <c r="Y19" s="1324"/>
      <c r="Z19" s="1083"/>
      <c r="AA19" s="1083"/>
      <c r="AB19" s="1084"/>
    </row>
    <row r="20" spans="2:28" ht="59.25" customHeight="1" x14ac:dyDescent="0.25">
      <c r="B20" s="1327"/>
      <c r="C20" s="1561"/>
      <c r="D20" s="142" t="s">
        <v>127</v>
      </c>
      <c r="E20" s="219">
        <v>0.25</v>
      </c>
      <c r="F20" s="220">
        <v>0.5</v>
      </c>
      <c r="G20" s="220">
        <v>0.75</v>
      </c>
      <c r="H20" s="221">
        <v>1</v>
      </c>
      <c r="I20" s="262">
        <v>2.8542000000000001</v>
      </c>
      <c r="J20" s="149"/>
      <c r="K20" s="149"/>
      <c r="L20" s="150"/>
      <c r="M20" s="1324"/>
      <c r="N20" s="1083"/>
      <c r="O20" s="1083"/>
      <c r="P20" s="1084"/>
      <c r="Q20" s="1324"/>
      <c r="R20" s="1083"/>
      <c r="S20" s="1083"/>
      <c r="T20" s="1084"/>
      <c r="U20" s="1324"/>
      <c r="V20" s="1083"/>
      <c r="W20" s="1083"/>
      <c r="X20" s="1084"/>
      <c r="Y20" s="1324"/>
      <c r="Z20" s="1083"/>
      <c r="AA20" s="1083"/>
      <c r="AB20" s="1084"/>
    </row>
    <row r="21" spans="2:28" ht="60" customHeight="1" thickBot="1" x14ac:dyDescent="0.3">
      <c r="B21" s="1328"/>
      <c r="C21" s="1562"/>
      <c r="D21" s="143" t="s">
        <v>128</v>
      </c>
      <c r="E21" s="222">
        <v>0.25</v>
      </c>
      <c r="F21" s="223">
        <v>0.5</v>
      </c>
      <c r="G21" s="223">
        <v>0.75</v>
      </c>
      <c r="H21" s="224">
        <v>1</v>
      </c>
      <c r="I21" s="263">
        <v>1.1442000000000001</v>
      </c>
      <c r="J21" s="128"/>
      <c r="K21" s="128"/>
      <c r="L21" s="129"/>
      <c r="M21" s="1014"/>
      <c r="N21" s="1017"/>
      <c r="O21" s="1017"/>
      <c r="P21" s="1020"/>
      <c r="Q21" s="1014"/>
      <c r="R21" s="1017"/>
      <c r="S21" s="1017"/>
      <c r="T21" s="1020"/>
      <c r="U21" s="1014"/>
      <c r="V21" s="1017"/>
      <c r="W21" s="1017"/>
      <c r="X21" s="1020"/>
      <c r="Y21" s="1014"/>
      <c r="Z21" s="1017"/>
      <c r="AA21" s="1017"/>
      <c r="AB21" s="1020"/>
    </row>
    <row r="22" spans="2:28" s="67" customFormat="1" ht="23.25" customHeight="1" thickBot="1" x14ac:dyDescent="0.3">
      <c r="B22" s="99" t="s">
        <v>12</v>
      </c>
      <c r="C22" s="100">
        <f>SUM(C7:C21)</f>
        <v>1</v>
      </c>
      <c r="D22" s="101"/>
      <c r="E22" s="102"/>
      <c r="F22" s="103"/>
      <c r="G22" s="103"/>
      <c r="H22" s="104"/>
      <c r="I22" s="105"/>
      <c r="J22" s="103"/>
      <c r="K22" s="103"/>
      <c r="L22" s="104"/>
      <c r="M22" s="102">
        <f>SUM(M7:M21)</f>
        <v>0.25937500000000002</v>
      </c>
      <c r="N22" s="69"/>
      <c r="O22" s="69"/>
      <c r="P22" s="70"/>
      <c r="Q22" s="85"/>
      <c r="R22" s="69"/>
      <c r="S22" s="69"/>
      <c r="T22" s="70"/>
      <c r="U22" s="85">
        <f>SUM(U7:U21)</f>
        <v>0.70261250000000008</v>
      </c>
      <c r="V22" s="85" t="e">
        <f>SUM(V7:V21)</f>
        <v>#DIV/0!</v>
      </c>
      <c r="W22" s="69" t="e">
        <f>SUM(W7:W21)</f>
        <v>#DIV/0!</v>
      </c>
      <c r="X22" s="70" t="e">
        <f>SUM(X7:X21)</f>
        <v>#DIV/0!</v>
      </c>
      <c r="Y22" s="102">
        <f>+U22/M22</f>
        <v>2.7088674698795181</v>
      </c>
      <c r="Z22" s="69"/>
      <c r="AA22" s="69"/>
      <c r="AB22" s="70"/>
    </row>
    <row r="24" spans="2:28" x14ac:dyDescent="0.25">
      <c r="H24" t="s">
        <v>129</v>
      </c>
      <c r="I24" s="228"/>
      <c r="J24" s="231">
        <f>10/15</f>
        <v>0.66666666666666663</v>
      </c>
    </row>
    <row r="25" spans="2:28" x14ac:dyDescent="0.25">
      <c r="H25" t="s">
        <v>130</v>
      </c>
      <c r="I25" s="229"/>
      <c r="J25" s="231">
        <f>4/15</f>
        <v>0.26666666666666666</v>
      </c>
    </row>
    <row r="26" spans="2:28" x14ac:dyDescent="0.25">
      <c r="H26" t="s">
        <v>131</v>
      </c>
      <c r="I26" s="230"/>
      <c r="J26" s="231">
        <f>1/15</f>
        <v>6.6666666666666666E-2</v>
      </c>
    </row>
    <row r="28" spans="2:28" x14ac:dyDescent="0.25">
      <c r="J28" s="233">
        <f>SUM(J24:J27)</f>
        <v>1</v>
      </c>
    </row>
  </sheetData>
  <mergeCells count="64">
    <mergeCell ref="P7:P10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B7:B10"/>
    <mergeCell ref="C7:C10"/>
    <mergeCell ref="M7:M10"/>
    <mergeCell ref="N7:N10"/>
    <mergeCell ref="O7:O10"/>
    <mergeCell ref="AB7:AB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B11:B12"/>
    <mergeCell ref="C11:C12"/>
    <mergeCell ref="M11:M12"/>
    <mergeCell ref="N11:N12"/>
    <mergeCell ref="O11:O12"/>
    <mergeCell ref="AA11:AA12"/>
    <mergeCell ref="AB11:AB12"/>
    <mergeCell ref="Q11:Q12"/>
    <mergeCell ref="R11:R12"/>
    <mergeCell ref="S11:S12"/>
    <mergeCell ref="T11:T12"/>
    <mergeCell ref="U11:U12"/>
    <mergeCell ref="V11:V12"/>
    <mergeCell ref="P14:P21"/>
    <mergeCell ref="W11:W12"/>
    <mergeCell ref="X11:X12"/>
    <mergeCell ref="Y11:Y12"/>
    <mergeCell ref="Z11:Z12"/>
    <mergeCell ref="P11:P12"/>
    <mergeCell ref="B14:B21"/>
    <mergeCell ref="C14:C21"/>
    <mergeCell ref="M14:M21"/>
    <mergeCell ref="N14:N21"/>
    <mergeCell ref="O14:O21"/>
    <mergeCell ref="AB14:AB21"/>
    <mergeCell ref="Q14:Q21"/>
    <mergeCell ref="R14:R21"/>
    <mergeCell ref="S14:S21"/>
    <mergeCell ref="T14:T21"/>
    <mergeCell ref="U14:U21"/>
    <mergeCell ref="V14:V21"/>
    <mergeCell ref="W14:W21"/>
    <mergeCell ref="X14:X21"/>
    <mergeCell ref="Y14:Y21"/>
    <mergeCell ref="Z14:Z21"/>
    <mergeCell ref="AA14:AA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1:AB24"/>
  <sheetViews>
    <sheetView topLeftCell="A13" zoomScale="70" zoomScaleNormal="70" workbookViewId="0">
      <selection activeCell="W19" sqref="W19"/>
    </sheetView>
  </sheetViews>
  <sheetFormatPr baseColWidth="10" defaultRowHeight="15" x14ac:dyDescent="0.25"/>
  <cols>
    <col min="1" max="1" width="4.5703125" customWidth="1"/>
    <col min="2" max="2" width="29.7109375" customWidth="1"/>
    <col min="3" max="3" width="12.7109375" customWidth="1"/>
    <col min="4" max="4" width="36" customWidth="1"/>
    <col min="5" max="5" width="13.85546875" style="276" hidden="1" customWidth="1"/>
    <col min="6" max="6" width="16.42578125" style="276" hidden="1" customWidth="1"/>
    <col min="7" max="7" width="13.85546875" style="276" customWidth="1"/>
    <col min="8" max="8" width="13.85546875" style="276" hidden="1" customWidth="1"/>
    <col min="9" max="9" width="3.28515625" style="276" hidden="1" customWidth="1"/>
    <col min="10" max="10" width="17.85546875" style="276" hidden="1" customWidth="1"/>
    <col min="11" max="11" width="16.7109375" style="276" customWidth="1"/>
    <col min="12" max="12" width="10" hidden="1" customWidth="1"/>
    <col min="13" max="13" width="26.42578125" hidden="1" customWidth="1"/>
    <col min="14" max="14" width="26.7109375" hidden="1" customWidth="1"/>
    <col min="15" max="15" width="21.7109375" customWidth="1"/>
    <col min="16" max="16" width="13.7109375" hidden="1" customWidth="1"/>
    <col min="17" max="17" width="23.28515625" hidden="1" customWidth="1"/>
    <col min="18" max="18" width="22.7109375" hidden="1" customWidth="1"/>
    <col min="19" max="19" width="23.5703125" customWidth="1"/>
    <col min="20" max="20" width="16.140625" hidden="1" customWidth="1"/>
    <col min="21" max="21" width="6.140625" hidden="1" customWidth="1"/>
    <col min="22" max="22" width="23.85546875" hidden="1" customWidth="1"/>
    <col min="23" max="23" width="19.85546875" customWidth="1"/>
    <col min="24" max="24" width="16.5703125" hidden="1" customWidth="1"/>
    <col min="25" max="25" width="19" hidden="1" customWidth="1"/>
    <col min="26" max="26" width="26.140625" hidden="1" customWidth="1"/>
    <col min="27" max="27" width="21.85546875" customWidth="1"/>
    <col min="28" max="28" width="14.7109375" hidden="1" customWidth="1"/>
    <col min="29" max="30" width="12.28515625" customWidth="1"/>
  </cols>
  <sheetData>
    <row r="1" spans="2:28" s="71" customFormat="1" ht="21" customHeight="1" x14ac:dyDescent="0.25"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3"/>
    </row>
    <row r="2" spans="2:28" ht="15.75" thickBot="1" x14ac:dyDescent="0.3"/>
    <row r="3" spans="2:28" ht="36.75" thickBot="1" x14ac:dyDescent="0.6">
      <c r="B3" s="1563" t="s">
        <v>323</v>
      </c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  <c r="W3" s="1564"/>
      <c r="X3" s="1564"/>
      <c r="Y3" s="1564"/>
      <c r="Z3" s="1565"/>
      <c r="AA3" s="1565"/>
      <c r="AB3" s="1566"/>
    </row>
    <row r="4" spans="2:28" ht="9" customHeight="1" x14ac:dyDescent="0.25">
      <c r="B4" s="280"/>
      <c r="C4" s="280"/>
      <c r="D4" s="280"/>
      <c r="E4" s="560"/>
      <c r="F4" s="560"/>
      <c r="G4" s="560"/>
      <c r="H4" s="560"/>
      <c r="I4" s="560"/>
      <c r="J4" s="560"/>
      <c r="K4" s="56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406"/>
      <c r="AA4" s="404"/>
      <c r="AB4" s="404"/>
    </row>
    <row r="5" spans="2:28" ht="80.25" customHeight="1" x14ac:dyDescent="0.25">
      <c r="B5" s="1567" t="s">
        <v>0</v>
      </c>
      <c r="C5" s="1568" t="s">
        <v>1</v>
      </c>
      <c r="D5" s="1569" t="s">
        <v>2</v>
      </c>
      <c r="E5" s="1570" t="s">
        <v>3</v>
      </c>
      <c r="F5" s="1571"/>
      <c r="G5" s="1571"/>
      <c r="H5" s="1571"/>
      <c r="I5" s="1570" t="s">
        <v>4</v>
      </c>
      <c r="J5" s="1571"/>
      <c r="K5" s="1571"/>
      <c r="L5" s="1571"/>
      <c r="M5" s="1570" t="s">
        <v>16</v>
      </c>
      <c r="N5" s="1570"/>
      <c r="O5" s="1570"/>
      <c r="P5" s="1570"/>
      <c r="Q5" s="1570" t="s">
        <v>5</v>
      </c>
      <c r="R5" s="1570"/>
      <c r="S5" s="1570"/>
      <c r="T5" s="1570"/>
      <c r="U5" s="1570" t="s">
        <v>6</v>
      </c>
      <c r="V5" s="1570"/>
      <c r="W5" s="1570"/>
      <c r="X5" s="1570"/>
      <c r="Y5" s="1572" t="s">
        <v>7</v>
      </c>
      <c r="Z5" s="1573"/>
      <c r="AA5" s="1573"/>
      <c r="AB5" s="1574"/>
    </row>
    <row r="6" spans="2:28" ht="15.75" thickBot="1" x14ac:dyDescent="0.3">
      <c r="B6" s="1546"/>
      <c r="C6" s="1547"/>
      <c r="D6" s="1350"/>
      <c r="E6" s="674" t="s">
        <v>8</v>
      </c>
      <c r="F6" s="674" t="s">
        <v>9</v>
      </c>
      <c r="G6" s="674" t="s">
        <v>10</v>
      </c>
      <c r="H6" s="674" t="s">
        <v>11</v>
      </c>
      <c r="I6" s="674" t="s">
        <v>8</v>
      </c>
      <c r="J6" s="674" t="s">
        <v>9</v>
      </c>
      <c r="K6" s="674" t="s">
        <v>10</v>
      </c>
      <c r="L6" s="674" t="s">
        <v>11</v>
      </c>
      <c r="M6" s="674" t="s">
        <v>8</v>
      </c>
      <c r="N6" s="674" t="s">
        <v>9</v>
      </c>
      <c r="O6" s="674" t="s">
        <v>10</v>
      </c>
      <c r="P6" s="674" t="s">
        <v>11</v>
      </c>
      <c r="Q6" s="674" t="s">
        <v>8</v>
      </c>
      <c r="R6" s="674" t="s">
        <v>9</v>
      </c>
      <c r="S6" s="674" t="s">
        <v>10</v>
      </c>
      <c r="T6" s="674" t="s">
        <v>11</v>
      </c>
      <c r="U6" s="674" t="s">
        <v>8</v>
      </c>
      <c r="V6" s="674" t="s">
        <v>9</v>
      </c>
      <c r="W6" s="674" t="s">
        <v>10</v>
      </c>
      <c r="X6" s="674" t="s">
        <v>11</v>
      </c>
      <c r="Y6" s="681" t="s">
        <v>8</v>
      </c>
      <c r="Z6" s="629" t="s">
        <v>9</v>
      </c>
      <c r="AA6" s="674" t="s">
        <v>10</v>
      </c>
      <c r="AB6" s="656" t="s">
        <v>11</v>
      </c>
    </row>
    <row r="7" spans="2:28" s="71" customFormat="1" ht="50.25" customHeight="1" thickTop="1" x14ac:dyDescent="0.25">
      <c r="B7" s="1575" t="s">
        <v>139</v>
      </c>
      <c r="C7" s="1576">
        <v>0.2</v>
      </c>
      <c r="D7" s="821" t="s">
        <v>314</v>
      </c>
      <c r="E7" s="565">
        <v>0.25</v>
      </c>
      <c r="F7" s="565">
        <v>0.5</v>
      </c>
      <c r="G7" s="565">
        <v>0.75</v>
      </c>
      <c r="H7" s="565">
        <v>1</v>
      </c>
      <c r="I7" s="571">
        <v>0.39529999999999998</v>
      </c>
      <c r="J7" s="571">
        <v>0.83</v>
      </c>
      <c r="K7" s="571">
        <v>0.90900000000000003</v>
      </c>
      <c r="L7" s="126"/>
      <c r="M7" s="1015">
        <f>+AVERAGE(E7:E9)*$C$7</f>
        <v>0.05</v>
      </c>
      <c r="N7" s="1015">
        <f>+AVERAGE(F7:F9)*$C$7</f>
        <v>0.1</v>
      </c>
      <c r="O7" s="1434">
        <f>+AVERAGE(G7:G9)*$C$7</f>
        <v>0.15000000000000002</v>
      </c>
      <c r="P7" s="1434">
        <f>+AVERAGE(H7:H9)*$C$7</f>
        <v>0.2</v>
      </c>
      <c r="Q7" s="1434">
        <f>+AVERAGE(I7:I9)</f>
        <v>0.40966666666666662</v>
      </c>
      <c r="R7" s="1434">
        <f>+AVERAGE(J7:J9)</f>
        <v>0.8833333333333333</v>
      </c>
      <c r="S7" s="1434">
        <f>+AVERAGE(K7:K9)</f>
        <v>0.90966666666666673</v>
      </c>
      <c r="T7" s="1434" t="e">
        <f>+AVERAGE(L7:L9)</f>
        <v>#DIV/0!</v>
      </c>
      <c r="U7" s="1434">
        <f>+Q7*$C$7</f>
        <v>8.193333333333333E-2</v>
      </c>
      <c r="V7" s="1434">
        <f>+R7*$C$7</f>
        <v>0.17666666666666667</v>
      </c>
      <c r="W7" s="1434">
        <f>+S7*$C$7</f>
        <v>0.18193333333333336</v>
      </c>
      <c r="X7" s="1434" t="e">
        <f>+T7*$C$7</f>
        <v>#DIV/0!</v>
      </c>
      <c r="Y7" s="1577">
        <f>+U7/M7</f>
        <v>1.6386666666666665</v>
      </c>
      <c r="Z7" s="1458">
        <f>+V7/N7</f>
        <v>1.7666666666666666</v>
      </c>
      <c r="AA7" s="1579">
        <f>+W7/O7</f>
        <v>1.2128888888888889</v>
      </c>
      <c r="AB7" s="1582" t="e">
        <f>+X7/P7</f>
        <v>#DIV/0!</v>
      </c>
    </row>
    <row r="8" spans="2:28" s="71" customFormat="1" ht="66.75" customHeight="1" x14ac:dyDescent="0.25">
      <c r="B8" s="1072"/>
      <c r="C8" s="1143"/>
      <c r="D8" s="294" t="s">
        <v>315</v>
      </c>
      <c r="E8" s="464">
        <v>0.25</v>
      </c>
      <c r="F8" s="464">
        <v>0.5</v>
      </c>
      <c r="G8" s="464">
        <v>0.75</v>
      </c>
      <c r="H8" s="464">
        <v>1</v>
      </c>
      <c r="I8" s="468">
        <v>0.37769999999999998</v>
      </c>
      <c r="J8" s="468">
        <v>0.82</v>
      </c>
      <c r="K8" s="468">
        <v>1</v>
      </c>
      <c r="L8" s="149"/>
      <c r="M8" s="1016"/>
      <c r="N8" s="1016"/>
      <c r="O8" s="1180"/>
      <c r="P8" s="1180"/>
      <c r="Q8" s="1180"/>
      <c r="R8" s="1180"/>
      <c r="S8" s="1180"/>
      <c r="T8" s="1180"/>
      <c r="U8" s="1180"/>
      <c r="V8" s="1180"/>
      <c r="W8" s="1180"/>
      <c r="X8" s="1180"/>
      <c r="Y8" s="1183"/>
      <c r="Z8" s="1186"/>
      <c r="AA8" s="1581"/>
      <c r="AB8" s="1036"/>
    </row>
    <row r="9" spans="2:28" s="71" customFormat="1" ht="61.5" customHeight="1" thickBot="1" x14ac:dyDescent="0.3">
      <c r="B9" s="1073"/>
      <c r="C9" s="1144"/>
      <c r="D9" s="295" t="s">
        <v>316</v>
      </c>
      <c r="E9" s="563">
        <v>0.25</v>
      </c>
      <c r="F9" s="563">
        <v>0.5</v>
      </c>
      <c r="G9" s="563">
        <v>0.75</v>
      </c>
      <c r="H9" s="563">
        <v>1</v>
      </c>
      <c r="I9" s="564">
        <v>0.45600000000000002</v>
      </c>
      <c r="J9" s="564">
        <v>1</v>
      </c>
      <c r="K9" s="564">
        <v>0.82</v>
      </c>
      <c r="L9" s="128"/>
      <c r="M9" s="1017"/>
      <c r="N9" s="1017"/>
      <c r="O9" s="1444"/>
      <c r="P9" s="1444"/>
      <c r="Q9" s="1444"/>
      <c r="R9" s="1444"/>
      <c r="S9" s="1444"/>
      <c r="T9" s="1444"/>
      <c r="U9" s="1444"/>
      <c r="V9" s="1444"/>
      <c r="W9" s="1444"/>
      <c r="X9" s="1444"/>
      <c r="Y9" s="1578"/>
      <c r="Z9" s="1459"/>
      <c r="AA9" s="1580"/>
      <c r="AB9" s="1037"/>
    </row>
    <row r="10" spans="2:28" ht="74.25" customHeight="1" x14ac:dyDescent="0.25">
      <c r="B10" s="1575" t="s">
        <v>111</v>
      </c>
      <c r="C10" s="1576">
        <v>0.3</v>
      </c>
      <c r="D10" s="296" t="s">
        <v>118</v>
      </c>
      <c r="E10" s="565">
        <v>0.25</v>
      </c>
      <c r="F10" s="565">
        <v>0.5</v>
      </c>
      <c r="G10" s="565">
        <v>0.75</v>
      </c>
      <c r="H10" s="565">
        <v>1</v>
      </c>
      <c r="I10" s="566">
        <v>0.25</v>
      </c>
      <c r="J10" s="566">
        <v>0.5</v>
      </c>
      <c r="K10" s="566">
        <v>1</v>
      </c>
      <c r="L10" s="155"/>
      <c r="M10" s="1015">
        <f>+AVERAGE(E10:E11)*$C$10</f>
        <v>7.4999999999999997E-2</v>
      </c>
      <c r="N10" s="1015">
        <f>+AVERAGE(F10:F11)*$C$10</f>
        <v>0.15</v>
      </c>
      <c r="O10" s="1434">
        <f>+AVERAGE(G10:G11)*$C$10</f>
        <v>0.22499999999999998</v>
      </c>
      <c r="P10" s="1434">
        <f>+AVERAGE(H10:H11)*$C$10</f>
        <v>0.3</v>
      </c>
      <c r="Q10" s="1434">
        <f>+AVERAGE(I10:I11)</f>
        <v>0.25829999999999997</v>
      </c>
      <c r="R10" s="1434">
        <f>+AVERAGE(J10:J11)</f>
        <v>0.52500000000000002</v>
      </c>
      <c r="S10" s="1434">
        <f>+AVERAGE(K10:K11)</f>
        <v>0.91349999999999998</v>
      </c>
      <c r="T10" s="1434" t="e">
        <f>+AVERAGE(L10:L11)</f>
        <v>#DIV/0!</v>
      </c>
      <c r="U10" s="1434">
        <f>+Q10*$C$10</f>
        <v>7.7489999999999989E-2</v>
      </c>
      <c r="V10" s="1434">
        <f>+R10*$C$10</f>
        <v>0.1575</v>
      </c>
      <c r="W10" s="1434">
        <f>+S10*$C$10</f>
        <v>0.27404999999999996</v>
      </c>
      <c r="X10" s="1434" t="e">
        <f>+T10*$C$10</f>
        <v>#DIV/0!</v>
      </c>
      <c r="Y10" s="1577">
        <f>+U10/M10</f>
        <v>1.0331999999999999</v>
      </c>
      <c r="Z10" s="1458">
        <f>+V10/N10</f>
        <v>1.05</v>
      </c>
      <c r="AA10" s="1579">
        <f>+W10/O10</f>
        <v>1.218</v>
      </c>
      <c r="AB10" s="1035" t="e">
        <f>+X10/P10</f>
        <v>#DIV/0!</v>
      </c>
    </row>
    <row r="11" spans="2:28" ht="73.5" customHeight="1" thickBot="1" x14ac:dyDescent="0.3">
      <c r="B11" s="1073"/>
      <c r="C11" s="1144"/>
      <c r="D11" s="297" t="s">
        <v>119</v>
      </c>
      <c r="E11" s="563">
        <v>0.25</v>
      </c>
      <c r="F11" s="563">
        <v>0.5</v>
      </c>
      <c r="G11" s="563">
        <v>0.75</v>
      </c>
      <c r="H11" s="563">
        <v>1</v>
      </c>
      <c r="I11" s="567">
        <v>0.2666</v>
      </c>
      <c r="J11" s="567">
        <v>0.55000000000000004</v>
      </c>
      <c r="K11" s="567">
        <v>0.82699999999999996</v>
      </c>
      <c r="L11" s="161"/>
      <c r="M11" s="1017"/>
      <c r="N11" s="1017"/>
      <c r="O11" s="1444"/>
      <c r="P11" s="1444"/>
      <c r="Q11" s="1444"/>
      <c r="R11" s="1444"/>
      <c r="S11" s="1444"/>
      <c r="T11" s="1444"/>
      <c r="U11" s="1444"/>
      <c r="V11" s="1444"/>
      <c r="W11" s="1444"/>
      <c r="X11" s="1444"/>
      <c r="Y11" s="1578"/>
      <c r="Z11" s="1459"/>
      <c r="AA11" s="1580"/>
      <c r="AB11" s="1037"/>
    </row>
    <row r="12" spans="2:28" ht="84" customHeight="1" thickBot="1" x14ac:dyDescent="0.3">
      <c r="B12" s="822" t="s">
        <v>112</v>
      </c>
      <c r="C12" s="298">
        <v>0.2</v>
      </c>
      <c r="D12" s="299" t="s">
        <v>317</v>
      </c>
      <c r="E12" s="568">
        <v>0.4</v>
      </c>
      <c r="F12" s="568">
        <v>0.65</v>
      </c>
      <c r="G12" s="568">
        <v>0.8</v>
      </c>
      <c r="H12" s="568">
        <v>1</v>
      </c>
      <c r="I12" s="569">
        <v>0.30659999999999998</v>
      </c>
      <c r="J12" s="570">
        <v>0.72</v>
      </c>
      <c r="K12" s="569">
        <v>0.745</v>
      </c>
      <c r="L12" s="300"/>
      <c r="M12" s="301">
        <f>+AVERAGE(E12:E12)*$C$12</f>
        <v>8.0000000000000016E-2</v>
      </c>
      <c r="N12" s="301">
        <f>+AVERAGE(F12:F12)*$C$12</f>
        <v>0.13</v>
      </c>
      <c r="O12" s="545">
        <f>+AVERAGE(G12:G12)*$C$12</f>
        <v>0.16000000000000003</v>
      </c>
      <c r="P12" s="545">
        <f>+AVERAGE(H12:H12)*$C$12</f>
        <v>0.2</v>
      </c>
      <c r="Q12" s="545">
        <f>+AVERAGE(I12:I12)</f>
        <v>0.30659999999999998</v>
      </c>
      <c r="R12" s="545">
        <f>+AVERAGE(J12:J12)</f>
        <v>0.72</v>
      </c>
      <c r="S12" s="545">
        <f>+AVERAGE(K12:K12)</f>
        <v>0.745</v>
      </c>
      <c r="T12" s="545" t="e">
        <f>+AVERAGE(L12:L12)</f>
        <v>#DIV/0!</v>
      </c>
      <c r="U12" s="545">
        <f>+Q12*$C$12</f>
        <v>6.132E-2</v>
      </c>
      <c r="V12" s="545">
        <f>+R12*$C$12</f>
        <v>0.14399999999999999</v>
      </c>
      <c r="W12" s="545">
        <f>+S12*$C$12</f>
        <v>0.14899999999999999</v>
      </c>
      <c r="X12" s="545" t="e">
        <f>+T12*$C$12</f>
        <v>#DIV/0!</v>
      </c>
      <c r="Y12" s="546">
        <f>+U12/M12</f>
        <v>0.76649999999999985</v>
      </c>
      <c r="Z12" s="628">
        <f t="shared" ref="Z12:AB13" si="0">+V12/N12</f>
        <v>1.1076923076923075</v>
      </c>
      <c r="AA12" s="823">
        <f t="shared" si="0"/>
        <v>0.9312499999999998</v>
      </c>
      <c r="AB12" s="819" t="e">
        <f t="shared" si="0"/>
        <v>#DIV/0!</v>
      </c>
    </row>
    <row r="13" spans="2:28" ht="57" customHeight="1" x14ac:dyDescent="0.25">
      <c r="B13" s="1575" t="s">
        <v>113</v>
      </c>
      <c r="C13" s="1585">
        <v>0.3</v>
      </c>
      <c r="D13" s="303" t="s">
        <v>318</v>
      </c>
      <c r="E13" s="565">
        <v>0.25</v>
      </c>
      <c r="F13" s="565">
        <v>0.5</v>
      </c>
      <c r="G13" s="565">
        <v>0.75</v>
      </c>
      <c r="H13" s="565">
        <v>1</v>
      </c>
      <c r="I13" s="571">
        <v>0.37630000000000002</v>
      </c>
      <c r="J13" s="572">
        <v>0.83</v>
      </c>
      <c r="K13" s="571">
        <v>0.94</v>
      </c>
      <c r="L13" s="126"/>
      <c r="M13" s="1015">
        <f>+AVERAGE(E13:E18)*$C$13</f>
        <v>7.4999999999999997E-2</v>
      </c>
      <c r="N13" s="1015">
        <f>+AVERAGE(F13:F18)*$C$13</f>
        <v>0.15</v>
      </c>
      <c r="O13" s="1434">
        <f>+AVERAGE(G13:G17)*$C$13</f>
        <v>0.22499999999999998</v>
      </c>
      <c r="P13" s="1434">
        <f>+AVERAGE(H13:H18)*$C$13</f>
        <v>0.3</v>
      </c>
      <c r="Q13" s="1434">
        <f>+AVERAGE(I13:I18)</f>
        <v>0.71848333333333336</v>
      </c>
      <c r="R13" s="1434">
        <f>+AVERAGE(J13:J18)</f>
        <v>0.86836666666666662</v>
      </c>
      <c r="S13" s="1434">
        <f>+AVERAGE(K13:K17)</f>
        <v>1.036</v>
      </c>
      <c r="T13" s="1434" t="e">
        <f>+AVERAGE(L13:L18)</f>
        <v>#DIV/0!</v>
      </c>
      <c r="U13" s="1434">
        <f>+Q13*$C$13</f>
        <v>0.21554500000000001</v>
      </c>
      <c r="V13" s="1434">
        <f>+R13*$C$13</f>
        <v>0.26050999999999996</v>
      </c>
      <c r="W13" s="1434">
        <f>+S13*$C$13</f>
        <v>0.31080000000000002</v>
      </c>
      <c r="X13" s="1434" t="e">
        <f>+T13*$C$13</f>
        <v>#DIV/0!</v>
      </c>
      <c r="Y13" s="1577">
        <f>+U13/M13</f>
        <v>2.8739333333333335</v>
      </c>
      <c r="Z13" s="1458">
        <f t="shared" si="0"/>
        <v>1.7367333333333332</v>
      </c>
      <c r="AA13" s="1579">
        <f t="shared" si="0"/>
        <v>1.3813333333333335</v>
      </c>
      <c r="AB13" s="1035" t="e">
        <f t="shared" si="0"/>
        <v>#DIV/0!</v>
      </c>
    </row>
    <row r="14" spans="2:28" ht="72" customHeight="1" x14ac:dyDescent="0.25">
      <c r="B14" s="1072"/>
      <c r="C14" s="1586"/>
      <c r="D14" s="302" t="s">
        <v>319</v>
      </c>
      <c r="E14" s="464">
        <v>0.25</v>
      </c>
      <c r="F14" s="464">
        <v>0.5</v>
      </c>
      <c r="G14" s="464">
        <v>0.75</v>
      </c>
      <c r="H14" s="464">
        <v>1</v>
      </c>
      <c r="I14" s="468">
        <v>0.90290000000000004</v>
      </c>
      <c r="J14" s="572">
        <v>1.04</v>
      </c>
      <c r="K14" s="468">
        <v>1.06</v>
      </c>
      <c r="L14" s="149"/>
      <c r="M14" s="1016"/>
      <c r="N14" s="1016"/>
      <c r="O14" s="1180"/>
      <c r="P14" s="1180"/>
      <c r="Q14" s="1180"/>
      <c r="R14" s="1180"/>
      <c r="S14" s="1180"/>
      <c r="T14" s="1180"/>
      <c r="U14" s="1180"/>
      <c r="V14" s="1180"/>
      <c r="W14" s="1180"/>
      <c r="X14" s="1180"/>
      <c r="Y14" s="1183"/>
      <c r="Z14" s="1186"/>
      <c r="AA14" s="1581"/>
      <c r="AB14" s="1036"/>
    </row>
    <row r="15" spans="2:28" ht="72" customHeight="1" x14ac:dyDescent="0.25">
      <c r="B15" s="1072"/>
      <c r="C15" s="1586"/>
      <c r="D15" s="302" t="s">
        <v>140</v>
      </c>
      <c r="E15" s="464">
        <v>0.25</v>
      </c>
      <c r="F15" s="464">
        <v>0.5</v>
      </c>
      <c r="G15" s="464">
        <v>0.75</v>
      </c>
      <c r="H15" s="464">
        <v>1</v>
      </c>
      <c r="I15" s="468">
        <v>0.76429999999999998</v>
      </c>
      <c r="J15" s="572">
        <v>0.83399999999999996</v>
      </c>
      <c r="K15" s="468">
        <v>0.93</v>
      </c>
      <c r="L15" s="149"/>
      <c r="M15" s="1016"/>
      <c r="N15" s="1016"/>
      <c r="O15" s="1180"/>
      <c r="P15" s="1180"/>
      <c r="Q15" s="1180"/>
      <c r="R15" s="1180"/>
      <c r="S15" s="1180"/>
      <c r="T15" s="1180"/>
      <c r="U15" s="1180"/>
      <c r="V15" s="1180"/>
      <c r="W15" s="1180"/>
      <c r="X15" s="1180"/>
      <c r="Y15" s="1183"/>
      <c r="Z15" s="1186"/>
      <c r="AA15" s="1581"/>
      <c r="AB15" s="1036"/>
    </row>
    <row r="16" spans="2:28" ht="59.25" customHeight="1" x14ac:dyDescent="0.25">
      <c r="B16" s="1072"/>
      <c r="C16" s="1586"/>
      <c r="D16" s="302" t="s">
        <v>320</v>
      </c>
      <c r="E16" s="464">
        <v>0.25</v>
      </c>
      <c r="F16" s="464">
        <v>0.5</v>
      </c>
      <c r="G16" s="464">
        <v>0.75</v>
      </c>
      <c r="H16" s="464">
        <v>1</v>
      </c>
      <c r="I16" s="468">
        <v>0.88880000000000003</v>
      </c>
      <c r="J16" s="572">
        <v>1.0562</v>
      </c>
      <c r="K16" s="468">
        <v>1.19</v>
      </c>
      <c r="L16" s="149"/>
      <c r="M16" s="1016"/>
      <c r="N16" s="1016"/>
      <c r="O16" s="1180"/>
      <c r="P16" s="1180"/>
      <c r="Q16" s="1180"/>
      <c r="R16" s="1180"/>
      <c r="S16" s="1180"/>
      <c r="T16" s="1180"/>
      <c r="U16" s="1180"/>
      <c r="V16" s="1180"/>
      <c r="W16" s="1180"/>
      <c r="X16" s="1180"/>
      <c r="Y16" s="1183"/>
      <c r="Z16" s="1186"/>
      <c r="AA16" s="1581"/>
      <c r="AB16" s="1036"/>
    </row>
    <row r="17" spans="2:28" ht="66.75" customHeight="1" thickBot="1" x14ac:dyDescent="0.3">
      <c r="B17" s="1072"/>
      <c r="C17" s="1586"/>
      <c r="D17" s="302" t="s">
        <v>321</v>
      </c>
      <c r="E17" s="464">
        <v>0.25</v>
      </c>
      <c r="F17" s="464">
        <v>0.5</v>
      </c>
      <c r="G17" s="464">
        <v>0.75</v>
      </c>
      <c r="H17" s="464">
        <v>1</v>
      </c>
      <c r="I17" s="468">
        <v>1.0109999999999999</v>
      </c>
      <c r="J17" s="572">
        <v>1.06</v>
      </c>
      <c r="K17" s="468">
        <v>1.06</v>
      </c>
      <c r="L17" s="149"/>
      <c r="M17" s="1016"/>
      <c r="N17" s="1016"/>
      <c r="O17" s="1180"/>
      <c r="P17" s="1180"/>
      <c r="Q17" s="1180"/>
      <c r="R17" s="1180"/>
      <c r="S17" s="1180"/>
      <c r="T17" s="1180"/>
      <c r="U17" s="1180"/>
      <c r="V17" s="1180"/>
      <c r="W17" s="1180"/>
      <c r="X17" s="1180"/>
      <c r="Y17" s="1183"/>
      <c r="Z17" s="1186"/>
      <c r="AA17" s="1581"/>
      <c r="AB17" s="1036"/>
    </row>
    <row r="18" spans="2:28" ht="59.25" hidden="1" customHeight="1" thickBot="1" x14ac:dyDescent="0.3">
      <c r="B18" s="1584"/>
      <c r="C18" s="1587"/>
      <c r="D18" s="693" t="s">
        <v>141</v>
      </c>
      <c r="E18" s="573">
        <v>0.25</v>
      </c>
      <c r="F18" s="573">
        <v>0.5</v>
      </c>
      <c r="G18" s="573">
        <v>0.75</v>
      </c>
      <c r="H18" s="573">
        <v>1</v>
      </c>
      <c r="I18" s="574">
        <v>0.36759999999999998</v>
      </c>
      <c r="J18" s="575">
        <v>0.39</v>
      </c>
      <c r="K18" s="573"/>
      <c r="L18" s="152"/>
      <c r="M18" s="1081"/>
      <c r="N18" s="1081"/>
      <c r="O18" s="1472"/>
      <c r="P18" s="1472"/>
      <c r="Q18" s="1472"/>
      <c r="R18" s="1472"/>
      <c r="S18" s="1472"/>
      <c r="T18" s="1472"/>
      <c r="U18" s="1472"/>
      <c r="V18" s="1472"/>
      <c r="W18" s="1472"/>
      <c r="X18" s="1472"/>
      <c r="Y18" s="1559"/>
      <c r="Z18" s="1474"/>
      <c r="AA18" s="1580"/>
      <c r="AB18" s="1037"/>
    </row>
    <row r="19" spans="2:28" s="592" customFormat="1" ht="36" customHeight="1" thickBot="1" x14ac:dyDescent="0.3">
      <c r="B19" s="824" t="s">
        <v>12</v>
      </c>
      <c r="C19" s="825">
        <f>SUM(C7:C18)</f>
        <v>1</v>
      </c>
      <c r="D19" s="826"/>
      <c r="E19" s="827"/>
      <c r="F19" s="827"/>
      <c r="G19" s="827"/>
      <c r="H19" s="827"/>
      <c r="I19" s="827"/>
      <c r="J19" s="827"/>
      <c r="K19" s="827"/>
      <c r="L19" s="827"/>
      <c r="M19" s="827">
        <f>SUM(M7:M18)</f>
        <v>0.28000000000000003</v>
      </c>
      <c r="N19" s="827">
        <f>SUM(N7:N18)</f>
        <v>0.53</v>
      </c>
      <c r="O19" s="827">
        <f>SUM(O7:O18)</f>
        <v>0.76</v>
      </c>
      <c r="P19" s="827">
        <f>SUM(P7:P18)</f>
        <v>1</v>
      </c>
      <c r="Q19" s="827"/>
      <c r="R19" s="827"/>
      <c r="S19" s="827"/>
      <c r="T19" s="827"/>
      <c r="U19" s="827">
        <f>SUM(U7:U18)</f>
        <v>0.43628833333333328</v>
      </c>
      <c r="V19" s="827">
        <f>SUM(V7:V18)</f>
        <v>0.73867666666666665</v>
      </c>
      <c r="W19" s="827">
        <f>SUM(W7:W18)</f>
        <v>0.91578333333333339</v>
      </c>
      <c r="X19" s="827" t="e">
        <f>SUM(X7:X18)</f>
        <v>#DIV/0!</v>
      </c>
      <c r="Y19" s="828">
        <f>+U19/M19</f>
        <v>1.5581726190476186</v>
      </c>
      <c r="Z19" s="829">
        <f>+V19/N19</f>
        <v>1.3937295597484276</v>
      </c>
      <c r="AA19" s="830">
        <f>+W19/O19</f>
        <v>1.2049780701754387</v>
      </c>
      <c r="AB19" s="820" t="e">
        <f>+X19/P19</f>
        <v>#DIV/0!</v>
      </c>
    </row>
    <row r="21" spans="2:28" x14ac:dyDescent="0.25">
      <c r="G21" s="402"/>
      <c r="H21" s="402"/>
      <c r="I21" s="390" t="s">
        <v>129</v>
      </c>
      <c r="J21" s="523">
        <f>10/12</f>
        <v>0.83333333333333337</v>
      </c>
      <c r="K21" s="460">
        <f>10/11</f>
        <v>0.90909090909090906</v>
      </c>
    </row>
    <row r="22" spans="2:28" x14ac:dyDescent="0.25">
      <c r="G22" s="402"/>
      <c r="H22" s="402"/>
      <c r="I22" s="284" t="s">
        <v>130</v>
      </c>
      <c r="J22" s="524">
        <f>1/12</f>
        <v>8.3333333333333329E-2</v>
      </c>
      <c r="K22" s="461">
        <v>0</v>
      </c>
    </row>
    <row r="23" spans="2:28" x14ac:dyDescent="0.25">
      <c r="G23" s="402"/>
      <c r="H23" s="402"/>
      <c r="I23" s="391" t="s">
        <v>131</v>
      </c>
      <c r="J23" s="525">
        <f>1/12</f>
        <v>8.3333333333333329E-2</v>
      </c>
      <c r="K23" s="462">
        <f>1/11</f>
        <v>9.0909090909090912E-2</v>
      </c>
    </row>
    <row r="24" spans="2:28" x14ac:dyDescent="0.25">
      <c r="G24" s="402"/>
      <c r="H24" s="402"/>
      <c r="I24" s="396"/>
      <c r="J24" s="526">
        <f>SUM(J21:J23)</f>
        <v>1</v>
      </c>
      <c r="K24" s="386">
        <f>SUM(K21:K23)</f>
        <v>1</v>
      </c>
    </row>
  </sheetData>
  <mergeCells count="65">
    <mergeCell ref="B1:Z1"/>
    <mergeCell ref="Z13:Z18"/>
    <mergeCell ref="AA13:AA18"/>
    <mergeCell ref="AB13:AB18"/>
    <mergeCell ref="U13:U18"/>
    <mergeCell ref="V13:V18"/>
    <mergeCell ref="W13:W18"/>
    <mergeCell ref="X13:X18"/>
    <mergeCell ref="Y13:Y18"/>
    <mergeCell ref="P13:P18"/>
    <mergeCell ref="Q13:Q18"/>
    <mergeCell ref="R13:R18"/>
    <mergeCell ref="S13:S18"/>
    <mergeCell ref="T13:T18"/>
    <mergeCell ref="B13:B18"/>
    <mergeCell ref="C13:C18"/>
    <mergeCell ref="M13:M18"/>
    <mergeCell ref="N13:N18"/>
    <mergeCell ref="O13:O18"/>
    <mergeCell ref="X10:X11"/>
    <mergeCell ref="Y10:Y11"/>
    <mergeCell ref="P10:P11"/>
    <mergeCell ref="Q10:Q11"/>
    <mergeCell ref="R10:R11"/>
    <mergeCell ref="S10:S11"/>
    <mergeCell ref="T10:T11"/>
    <mergeCell ref="U10:U11"/>
    <mergeCell ref="V10:V11"/>
    <mergeCell ref="W10:W11"/>
    <mergeCell ref="Z10:Z11"/>
    <mergeCell ref="AA10:AA11"/>
    <mergeCell ref="AB10:AB11"/>
    <mergeCell ref="Z7:Z9"/>
    <mergeCell ref="AA7:AA9"/>
    <mergeCell ref="AB7:AB9"/>
    <mergeCell ref="B10:B11"/>
    <mergeCell ref="C10:C11"/>
    <mergeCell ref="M10:M11"/>
    <mergeCell ref="N10:N11"/>
    <mergeCell ref="O10:O11"/>
    <mergeCell ref="U7:U9"/>
    <mergeCell ref="V7:V9"/>
    <mergeCell ref="W7:W9"/>
    <mergeCell ref="X7:X9"/>
    <mergeCell ref="Y7:Y9"/>
    <mergeCell ref="P7:P9"/>
    <mergeCell ref="Q7:Q9"/>
    <mergeCell ref="R7:R9"/>
    <mergeCell ref="S7:S9"/>
    <mergeCell ref="T7:T9"/>
    <mergeCell ref="B7:B9"/>
    <mergeCell ref="C7:C9"/>
    <mergeCell ref="M7:M9"/>
    <mergeCell ref="N7:N9"/>
    <mergeCell ref="O7:O9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15"/>
  <sheetViews>
    <sheetView zoomScale="80" zoomScaleNormal="80" workbookViewId="0">
      <selection activeCell="B3" sqref="B3:AB9"/>
    </sheetView>
  </sheetViews>
  <sheetFormatPr baseColWidth="10" defaultRowHeight="15" x14ac:dyDescent="0.25"/>
  <cols>
    <col min="1" max="1" width="4.28515625" customWidth="1"/>
    <col min="2" max="2" width="29.7109375" customWidth="1"/>
    <col min="3" max="3" width="13.28515625" customWidth="1"/>
    <col min="4" max="4" width="36" customWidth="1"/>
    <col min="5" max="6" width="11.42578125" hidden="1" customWidth="1"/>
    <col min="7" max="7" width="11.42578125" customWidth="1"/>
    <col min="8" max="10" width="11.42578125" hidden="1" customWidth="1"/>
    <col min="11" max="11" width="11.42578125" customWidth="1"/>
    <col min="12" max="12" width="11.42578125" hidden="1" customWidth="1"/>
    <col min="13" max="13" width="18.5703125" hidden="1" customWidth="1"/>
    <col min="14" max="14" width="22" hidden="1" customWidth="1"/>
    <col min="15" max="15" width="18.5703125" customWidth="1"/>
    <col min="16" max="16" width="6.42578125" hidden="1" customWidth="1"/>
    <col min="17" max="17" width="17.28515625" hidden="1" customWidth="1"/>
    <col min="18" max="18" width="10.5703125" hidden="1" customWidth="1"/>
    <col min="19" max="19" width="18.85546875" customWidth="1"/>
    <col min="20" max="20" width="11.85546875" hidden="1" customWidth="1"/>
    <col min="21" max="21" width="15.140625" hidden="1" customWidth="1"/>
    <col min="22" max="22" width="20.5703125" hidden="1" customWidth="1"/>
    <col min="23" max="23" width="20" customWidth="1"/>
    <col min="24" max="24" width="11.7109375" hidden="1" customWidth="1"/>
    <col min="25" max="25" width="20.42578125" hidden="1" customWidth="1"/>
    <col min="26" max="26" width="18.7109375" hidden="1" customWidth="1"/>
    <col min="27" max="27" width="19.7109375" customWidth="1"/>
    <col min="28" max="28" width="7.28515625" hidden="1" customWidth="1"/>
  </cols>
  <sheetData>
    <row r="2" spans="2:28" ht="15.75" thickBot="1" x14ac:dyDescent="0.3"/>
    <row r="3" spans="2:28" ht="34.5" thickBot="1" x14ac:dyDescent="0.3">
      <c r="B3" s="1053" t="s">
        <v>328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5"/>
    </row>
    <row r="4" spans="2:28" ht="15.75" thickBot="1" x14ac:dyDescent="0.3"/>
    <row r="5" spans="2:28" ht="69" customHeight="1" thickTop="1" x14ac:dyDescent="0.25">
      <c r="B5" s="1058" t="s">
        <v>0</v>
      </c>
      <c r="C5" s="1060" t="s">
        <v>1</v>
      </c>
      <c r="D5" s="1062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056" t="s">
        <v>5</v>
      </c>
      <c r="R5" s="1056"/>
      <c r="S5" s="1056"/>
      <c r="T5" s="1056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ht="18" customHeight="1" thickBot="1" x14ac:dyDescent="0.3">
      <c r="B6" s="1059"/>
      <c r="C6" s="1061"/>
      <c r="D6" s="1063"/>
      <c r="E6" s="637" t="s">
        <v>8</v>
      </c>
      <c r="F6" s="637" t="s">
        <v>9</v>
      </c>
      <c r="G6" s="637" t="s">
        <v>10</v>
      </c>
      <c r="H6" s="637" t="s">
        <v>11</v>
      </c>
      <c r="I6" s="637" t="s">
        <v>8</v>
      </c>
      <c r="J6" s="637" t="s">
        <v>9</v>
      </c>
      <c r="K6" s="637" t="s">
        <v>10</v>
      </c>
      <c r="L6" s="637" t="s">
        <v>11</v>
      </c>
      <c r="M6" s="637" t="s">
        <v>8</v>
      </c>
      <c r="N6" s="637" t="s">
        <v>9</v>
      </c>
      <c r="O6" s="637" t="s">
        <v>10</v>
      </c>
      <c r="P6" s="637" t="s">
        <v>11</v>
      </c>
      <c r="Q6" s="637" t="s">
        <v>8</v>
      </c>
      <c r="R6" s="637" t="s">
        <v>9</v>
      </c>
      <c r="S6" s="637" t="s">
        <v>10</v>
      </c>
      <c r="T6" s="637" t="s">
        <v>11</v>
      </c>
      <c r="U6" s="637" t="s">
        <v>8</v>
      </c>
      <c r="V6" s="637" t="s">
        <v>9</v>
      </c>
      <c r="W6" s="637" t="s">
        <v>10</v>
      </c>
      <c r="X6" s="637" t="s">
        <v>11</v>
      </c>
      <c r="Y6" s="638" t="s">
        <v>8</v>
      </c>
      <c r="Z6" s="629" t="s">
        <v>9</v>
      </c>
      <c r="AA6" s="674" t="s">
        <v>10</v>
      </c>
      <c r="AB6" s="630" t="s">
        <v>11</v>
      </c>
    </row>
    <row r="7" spans="2:28" ht="56.25" customHeight="1" thickTop="1" x14ac:dyDescent="0.25">
      <c r="B7" s="737" t="s">
        <v>17</v>
      </c>
      <c r="C7" s="739">
        <v>0.6</v>
      </c>
      <c r="D7" s="602" t="s">
        <v>19</v>
      </c>
      <c r="E7" s="603">
        <v>0.2</v>
      </c>
      <c r="F7" s="603">
        <v>0.5</v>
      </c>
      <c r="G7" s="603">
        <v>0.8</v>
      </c>
      <c r="H7" s="603">
        <v>1</v>
      </c>
      <c r="I7" s="604">
        <v>0.2</v>
      </c>
      <c r="J7" s="606">
        <v>0.44</v>
      </c>
      <c r="K7" s="887">
        <v>0.65</v>
      </c>
      <c r="L7" s="885"/>
      <c r="M7" s="743">
        <f>+AVERAGE(E7:E7)*$C$7</f>
        <v>0.12</v>
      </c>
      <c r="N7" s="743">
        <f>+AVERAGE(F7:F7)*$C$7</f>
        <v>0.3</v>
      </c>
      <c r="O7" s="743">
        <f>+AVERAGE(G7:G7)*$C$7</f>
        <v>0.48</v>
      </c>
      <c r="P7" s="743">
        <f>+AVERAGE(H7:H7)*$C$7</f>
        <v>0.6</v>
      </c>
      <c r="Q7" s="743">
        <f t="shared" ref="Q7:T8" si="0">+AVERAGE(I7:I7)</f>
        <v>0.2</v>
      </c>
      <c r="R7" s="743">
        <f t="shared" si="0"/>
        <v>0.44</v>
      </c>
      <c r="S7" s="743">
        <f t="shared" si="0"/>
        <v>0.65</v>
      </c>
      <c r="T7" s="743" t="e">
        <f t="shared" si="0"/>
        <v>#DIV/0!</v>
      </c>
      <c r="U7" s="743">
        <f>+Q7*$C$7</f>
        <v>0.12</v>
      </c>
      <c r="V7" s="743">
        <f>+R7*$C$7</f>
        <v>0.26400000000000001</v>
      </c>
      <c r="W7" s="743">
        <f>+S7*$C$7</f>
        <v>0.39</v>
      </c>
      <c r="X7" s="743" t="e">
        <f>+T7*$C$7</f>
        <v>#DIV/0!</v>
      </c>
      <c r="Y7" s="752">
        <f t="shared" ref="Y7:AB9" si="1">+U7/M7</f>
        <v>1</v>
      </c>
      <c r="Z7" s="750">
        <f t="shared" si="1"/>
        <v>0.88000000000000012</v>
      </c>
      <c r="AA7" s="750">
        <f t="shared" si="1"/>
        <v>0.81250000000000011</v>
      </c>
      <c r="AB7" s="605" t="e">
        <f t="shared" si="1"/>
        <v>#DIV/0!</v>
      </c>
    </row>
    <row r="8" spans="2:28" ht="129" customHeight="1" x14ac:dyDescent="0.25">
      <c r="B8" s="738" t="s">
        <v>18</v>
      </c>
      <c r="C8" s="740">
        <v>0.4</v>
      </c>
      <c r="D8" s="290" t="s">
        <v>20</v>
      </c>
      <c r="E8" s="425">
        <v>0.2</v>
      </c>
      <c r="F8" s="425">
        <v>0.5</v>
      </c>
      <c r="G8" s="425">
        <v>0.75</v>
      </c>
      <c r="H8" s="425">
        <v>1</v>
      </c>
      <c r="I8" s="426">
        <v>0.2</v>
      </c>
      <c r="J8" s="607">
        <v>0.5</v>
      </c>
      <c r="K8" s="426">
        <v>0.75</v>
      </c>
      <c r="L8" s="886"/>
      <c r="M8" s="741">
        <f>+AVERAGE(E8:E8)*$C$8</f>
        <v>8.0000000000000016E-2</v>
      </c>
      <c r="N8" s="741">
        <f>+AVERAGE(F8:F8)*$C$8</f>
        <v>0.2</v>
      </c>
      <c r="O8" s="741">
        <f>+AVERAGE(G8:G8)*$C$8</f>
        <v>0.30000000000000004</v>
      </c>
      <c r="P8" s="741">
        <f>+AVERAGE(H8:H8)*$C$8</f>
        <v>0.4</v>
      </c>
      <c r="Q8" s="741">
        <f t="shared" si="0"/>
        <v>0.2</v>
      </c>
      <c r="R8" s="741">
        <f t="shared" si="0"/>
        <v>0.5</v>
      </c>
      <c r="S8" s="741">
        <f t="shared" si="0"/>
        <v>0.75</v>
      </c>
      <c r="T8" s="741" t="e">
        <f t="shared" si="0"/>
        <v>#DIV/0!</v>
      </c>
      <c r="U8" s="741">
        <f>+Q8*$C$8</f>
        <v>8.0000000000000016E-2</v>
      </c>
      <c r="V8" s="741">
        <f>+R8*$C$8</f>
        <v>0.2</v>
      </c>
      <c r="W8" s="741">
        <f>+S8*$C$8</f>
        <v>0.30000000000000004</v>
      </c>
      <c r="X8" s="741" t="e">
        <f>+T8*$C$8</f>
        <v>#DIV/0!</v>
      </c>
      <c r="Y8" s="742">
        <f t="shared" si="1"/>
        <v>1</v>
      </c>
      <c r="Z8" s="749">
        <f t="shared" si="1"/>
        <v>1</v>
      </c>
      <c r="AA8" s="749">
        <f t="shared" si="1"/>
        <v>1</v>
      </c>
      <c r="AB8" s="605" t="e">
        <f t="shared" si="1"/>
        <v>#DIV/0!</v>
      </c>
    </row>
    <row r="9" spans="2:28" s="600" customFormat="1" ht="30.75" customHeight="1" thickBot="1" x14ac:dyDescent="0.3">
      <c r="B9" s="639" t="s">
        <v>12</v>
      </c>
      <c r="C9" s="631">
        <f>SUM(C7:C8)</f>
        <v>1</v>
      </c>
      <c r="D9" s="632"/>
      <c r="E9" s="633"/>
      <c r="F9" s="633"/>
      <c r="G9" s="633"/>
      <c r="H9" s="633"/>
      <c r="I9" s="633"/>
      <c r="J9" s="633"/>
      <c r="K9" s="633"/>
      <c r="L9" s="633"/>
      <c r="M9" s="633">
        <f>SUM(M7:M8)</f>
        <v>0.2</v>
      </c>
      <c r="N9" s="633">
        <f>SUM(N7:N8)</f>
        <v>0.5</v>
      </c>
      <c r="O9" s="633">
        <f>SUM(O7:O8)</f>
        <v>0.78</v>
      </c>
      <c r="P9" s="633">
        <f>SUM(P7:P8)</f>
        <v>1</v>
      </c>
      <c r="Q9" s="634"/>
      <c r="R9" s="634"/>
      <c r="S9" s="634"/>
      <c r="T9" s="634"/>
      <c r="U9" s="633">
        <f>SUM(U7:U8)</f>
        <v>0.2</v>
      </c>
      <c r="V9" s="633">
        <f>SUM(V7:V8)</f>
        <v>0.46400000000000002</v>
      </c>
      <c r="W9" s="633">
        <f>SUM(W7:W8)</f>
        <v>0.69000000000000006</v>
      </c>
      <c r="X9" s="633" t="e">
        <f>SUM(X7:X8)</f>
        <v>#DIV/0!</v>
      </c>
      <c r="Y9" s="635">
        <f>+U9/M9</f>
        <v>1</v>
      </c>
      <c r="Z9" s="640">
        <f>+V9/N9</f>
        <v>0.92800000000000005</v>
      </c>
      <c r="AA9" s="640">
        <f t="shared" si="1"/>
        <v>0.88461538461538469</v>
      </c>
      <c r="AB9" s="881" t="e">
        <f t="shared" si="1"/>
        <v>#DIV/0!</v>
      </c>
    </row>
    <row r="10" spans="2:28" ht="15.75" thickTop="1" x14ac:dyDescent="0.25"/>
    <row r="11" spans="2:28" x14ac:dyDescent="0.25">
      <c r="K11" s="888">
        <v>0</v>
      </c>
      <c r="L11" s="279"/>
    </row>
    <row r="12" spans="2:28" x14ac:dyDescent="0.25">
      <c r="K12" s="889">
        <f>1/2</f>
        <v>0.5</v>
      </c>
      <c r="L12" s="279"/>
    </row>
    <row r="13" spans="2:28" x14ac:dyDescent="0.25">
      <c r="K13" s="890">
        <f>1/2</f>
        <v>0.5</v>
      </c>
      <c r="L13" s="279"/>
    </row>
    <row r="14" spans="2:28" x14ac:dyDescent="0.25">
      <c r="H14" s="280"/>
      <c r="K14" s="231">
        <f>SUM(K12:K13)</f>
        <v>1</v>
      </c>
      <c r="L14" s="281"/>
    </row>
    <row r="15" spans="2:28" x14ac:dyDescent="0.25">
      <c r="H15" s="139"/>
    </row>
  </sheetData>
  <mergeCells count="10">
    <mergeCell ref="B3:AB3"/>
    <mergeCell ref="Q5:T5"/>
    <mergeCell ref="U5:X5"/>
    <mergeCell ref="Y5:AB5"/>
    <mergeCell ref="B5:B6"/>
    <mergeCell ref="C5:C6"/>
    <mergeCell ref="D5:D6"/>
    <mergeCell ref="E5:H5"/>
    <mergeCell ref="I5:L5"/>
    <mergeCell ref="M5:P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F17"/>
  <sheetViews>
    <sheetView topLeftCell="A16" zoomScale="90" zoomScaleNormal="90" workbookViewId="0">
      <selection activeCell="H14" sqref="H14"/>
    </sheetView>
  </sheetViews>
  <sheetFormatPr baseColWidth="10" defaultRowHeight="15" x14ac:dyDescent="0.25"/>
  <cols>
    <col min="2" max="2" width="56.140625" customWidth="1"/>
    <col min="3" max="3" width="19.28515625" customWidth="1"/>
    <col min="4" max="4" width="2.28515625" customWidth="1"/>
    <col min="5" max="5" width="56" customWidth="1"/>
    <col min="6" max="6" width="19.7109375" customWidth="1"/>
  </cols>
  <sheetData>
    <row r="2" spans="2:6" ht="15.75" thickBot="1" x14ac:dyDescent="0.3"/>
    <row r="3" spans="2:6" ht="29.25" customHeight="1" thickBot="1" x14ac:dyDescent="0.3">
      <c r="B3" s="1588" t="s">
        <v>107</v>
      </c>
      <c r="C3" s="1589"/>
      <c r="E3" s="1590" t="s">
        <v>108</v>
      </c>
      <c r="F3" s="1591"/>
    </row>
    <row r="4" spans="2:6" s="122" customFormat="1" ht="49.5" customHeight="1" thickBot="1" x14ac:dyDescent="0.3">
      <c r="B4" s="226" t="s">
        <v>91</v>
      </c>
      <c r="C4" s="273" t="s">
        <v>93</v>
      </c>
      <c r="D4" s="225"/>
      <c r="E4" s="227" t="s">
        <v>91</v>
      </c>
      <c r="F4" s="187" t="s">
        <v>92</v>
      </c>
    </row>
    <row r="5" spans="2:6" x14ac:dyDescent="0.25">
      <c r="B5" s="177" t="s">
        <v>94</v>
      </c>
      <c r="C5" s="178">
        <f>+'4. OF_JURIDICA'!Y13</f>
        <v>0.95238095238095233</v>
      </c>
      <c r="E5" s="177" t="s">
        <v>94</v>
      </c>
      <c r="F5" s="178">
        <f>+'4. OF_JURIDICA'!U13</f>
        <v>0.2</v>
      </c>
    </row>
    <row r="6" spans="2:6" x14ac:dyDescent="0.25">
      <c r="B6" s="179" t="s">
        <v>95</v>
      </c>
      <c r="C6" s="180">
        <f>+'13. OFICINA DE COMUNICACIONES'!Y22</f>
        <v>2.7088674698795181</v>
      </c>
      <c r="E6" s="179" t="s">
        <v>95</v>
      </c>
      <c r="F6" s="180">
        <f>+'13. OFICINA DE COMUNICACIONES'!U22</f>
        <v>0.70261250000000008</v>
      </c>
    </row>
    <row r="7" spans="2:6" x14ac:dyDescent="0.25">
      <c r="B7" s="181" t="s">
        <v>96</v>
      </c>
      <c r="C7" s="182">
        <f>+'5. OF_PLANEACIÓN'!Y40</f>
        <v>1.0881792881206973</v>
      </c>
      <c r="E7" s="181" t="s">
        <v>96</v>
      </c>
      <c r="F7" s="182">
        <f>+'5. OF_PLANEACIÓN'!U40</f>
        <v>0.44220238095238096</v>
      </c>
    </row>
    <row r="8" spans="2:6" x14ac:dyDescent="0.25">
      <c r="B8" s="183" t="s">
        <v>97</v>
      </c>
      <c r="C8" s="180">
        <f>+'6. OF_TECNOLOGÍA'!Y11</f>
        <v>1.3692307692307693</v>
      </c>
      <c r="E8" s="183" t="s">
        <v>97</v>
      </c>
      <c r="F8" s="180">
        <f>+'6. OF_TECNOLOGÍA'!U11</f>
        <v>0.3115</v>
      </c>
    </row>
    <row r="9" spans="2:6" x14ac:dyDescent="0.25">
      <c r="B9" s="184" t="s">
        <v>98</v>
      </c>
      <c r="C9" s="182">
        <f>+'3. OF_INNOV_EDUCAT'!Y19</f>
        <v>1</v>
      </c>
      <c r="E9" s="184" t="s">
        <v>98</v>
      </c>
      <c r="F9" s="182">
        <f>+'3. OF_INNOV_EDUCAT'!U19</f>
        <v>0.16666666666666666</v>
      </c>
    </row>
    <row r="10" spans="2:6" x14ac:dyDescent="0.25">
      <c r="B10" s="183" t="s">
        <v>99</v>
      </c>
      <c r="C10" s="180">
        <f>+'2. OF_COOP_INTERNACIONAL'!Y16</f>
        <v>1.170867052023121</v>
      </c>
      <c r="E10" s="183" t="s">
        <v>99</v>
      </c>
      <c r="F10" s="180">
        <f>+'2. OF_COOP_INTERNACIONAL'!U16</f>
        <v>0.25319999999999993</v>
      </c>
    </row>
    <row r="11" spans="2:6" x14ac:dyDescent="0.25">
      <c r="B11" s="184" t="s">
        <v>100</v>
      </c>
      <c r="C11" s="182">
        <f>+'1. OF_CONTROL_INTERNO'!Y9</f>
        <v>1</v>
      </c>
      <c r="E11" s="184" t="s">
        <v>100</v>
      </c>
      <c r="F11" s="182">
        <f>+'1. OF_CONTROL_INTERNO'!U9</f>
        <v>0.2</v>
      </c>
    </row>
    <row r="12" spans="2:6" x14ac:dyDescent="0.25">
      <c r="B12" s="179" t="s">
        <v>101</v>
      </c>
      <c r="C12" s="180">
        <f>+'8. SUBDIR_FINANCIERA'!Y24</f>
        <v>0.9734858681022881</v>
      </c>
      <c r="E12" s="179" t="s">
        <v>101</v>
      </c>
      <c r="F12" s="180">
        <f>+'8. SUBDIR_FINANCIERA'!U24</f>
        <v>0.21526785714285715</v>
      </c>
    </row>
    <row r="13" spans="2:6" x14ac:dyDescent="0.25">
      <c r="B13" s="184" t="s">
        <v>102</v>
      </c>
      <c r="C13" s="182">
        <f>+'12. SUBDIR_CONTRATACIÓN'!Y10</f>
        <v>4.0313333333333334</v>
      </c>
      <c r="E13" s="184" t="s">
        <v>102</v>
      </c>
      <c r="F13" s="182">
        <f>+'12. SUBDIR_CONTRATACIÓN'!U10</f>
        <v>0.60470000000000002</v>
      </c>
    </row>
    <row r="14" spans="2:6" x14ac:dyDescent="0.25">
      <c r="B14" s="183" t="s">
        <v>103</v>
      </c>
      <c r="C14" s="180">
        <f>+'11. SUBDIR_ADMINISTRATIVA'!Y18</f>
        <v>1</v>
      </c>
      <c r="E14" s="183" t="s">
        <v>103</v>
      </c>
      <c r="F14" s="180">
        <f>+'11. SUBDIR_ADMINISTRATIVA'!U18</f>
        <v>0.26051500000000005</v>
      </c>
    </row>
    <row r="15" spans="2:6" x14ac:dyDescent="0.25">
      <c r="B15" s="181" t="s">
        <v>104</v>
      </c>
      <c r="C15" s="182">
        <f>+'9. SUBDIR_TALENTO_HUMANO'!Y29</f>
        <v>0.99449887640449441</v>
      </c>
      <c r="E15" s="181" t="s">
        <v>104</v>
      </c>
      <c r="F15" s="182">
        <f>+'9. SUBDIR_TALENTO_HUMANO'!U29</f>
        <v>0.27659499999999998</v>
      </c>
    </row>
    <row r="16" spans="2:6" x14ac:dyDescent="0.25">
      <c r="B16" s="179" t="s">
        <v>105</v>
      </c>
      <c r="C16" s="180" t="e">
        <f>+#REF!</f>
        <v>#REF!</v>
      </c>
      <c r="E16" s="179" t="s">
        <v>105</v>
      </c>
      <c r="F16" s="180" t="e">
        <f>+#REF!</f>
        <v>#REF!</v>
      </c>
    </row>
    <row r="17" spans="2:6" ht="15.75" thickBot="1" x14ac:dyDescent="0.3">
      <c r="B17" s="185" t="s">
        <v>106</v>
      </c>
      <c r="C17" s="186">
        <f>+'10. UNID_ATENC_CIUDADANO'!Y13</f>
        <v>0.85613636363636358</v>
      </c>
      <c r="E17" s="185" t="s">
        <v>106</v>
      </c>
      <c r="F17" s="186">
        <f>+'10. UNID_ATENC_CIUDADANO'!U13</f>
        <v>0.18834999999999999</v>
      </c>
    </row>
  </sheetData>
  <mergeCells count="2">
    <mergeCell ref="B3:C3"/>
    <mergeCell ref="E3:F3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F17"/>
  <sheetViews>
    <sheetView topLeftCell="A13" workbookViewId="0">
      <selection activeCell="E2" sqref="E2:F16"/>
    </sheetView>
  </sheetViews>
  <sheetFormatPr baseColWidth="10" defaultRowHeight="15" x14ac:dyDescent="0.25"/>
  <cols>
    <col min="1" max="1" width="2" customWidth="1"/>
    <col min="2" max="2" width="61.140625" customWidth="1"/>
    <col min="3" max="3" width="20.28515625" customWidth="1"/>
    <col min="4" max="4" width="6.5703125" customWidth="1"/>
    <col min="5" max="5" width="60.7109375" customWidth="1"/>
    <col min="6" max="6" width="19.28515625" customWidth="1"/>
  </cols>
  <sheetData>
    <row r="1" spans="2:6" ht="9" customHeight="1" thickBot="1" x14ac:dyDescent="0.3"/>
    <row r="2" spans="2:6" ht="24" customHeight="1" thickTop="1" thickBot="1" x14ac:dyDescent="0.3">
      <c r="B2" s="1592" t="s">
        <v>311</v>
      </c>
      <c r="C2" s="1593"/>
      <c r="E2" s="1592" t="s">
        <v>312</v>
      </c>
      <c r="F2" s="1593"/>
    </row>
    <row r="3" spans="2:6" ht="22.5" thickTop="1" thickBot="1" x14ac:dyDescent="0.3">
      <c r="B3" s="966" t="s">
        <v>91</v>
      </c>
      <c r="C3" s="974" t="s">
        <v>282</v>
      </c>
      <c r="D3" s="225"/>
      <c r="E3" s="979" t="s">
        <v>91</v>
      </c>
      <c r="F3" s="974" t="s">
        <v>283</v>
      </c>
    </row>
    <row r="4" spans="2:6" ht="15.75" thickTop="1" x14ac:dyDescent="0.25">
      <c r="B4" s="967" t="s">
        <v>94</v>
      </c>
      <c r="C4" s="975">
        <f>+'4. OF_JURIDICA_AJUSTE'!AA17</f>
        <v>0.96029411764705874</v>
      </c>
      <c r="E4" s="967" t="s">
        <v>94</v>
      </c>
      <c r="F4" s="980">
        <f>+'4. OF_JURIDICA_AJUSTE'!W17</f>
        <v>0.72555555555555551</v>
      </c>
    </row>
    <row r="5" spans="2:6" x14ac:dyDescent="0.25">
      <c r="B5" s="968" t="s">
        <v>95</v>
      </c>
      <c r="C5" s="976">
        <f>+'13. OF_COMUNICACIONES'!AA19</f>
        <v>1.2049780701754387</v>
      </c>
      <c r="E5" s="968" t="s">
        <v>95</v>
      </c>
      <c r="F5" s="976">
        <f>+'13. OF_COMUNICACIONES'!W19</f>
        <v>0.91578333333333339</v>
      </c>
    </row>
    <row r="6" spans="2:6" x14ac:dyDescent="0.25">
      <c r="B6" s="969" t="s">
        <v>96</v>
      </c>
      <c r="C6" s="977">
        <f>+'5. OF_PLANEACIÓN'!AA40</f>
        <v>1.0484715582147663</v>
      </c>
      <c r="E6" s="969" t="s">
        <v>96</v>
      </c>
      <c r="F6" s="977">
        <f>+'5. OF_PLANEACIÓN'!W40</f>
        <v>0.83846520146520154</v>
      </c>
    </row>
    <row r="7" spans="2:6" x14ac:dyDescent="0.25">
      <c r="B7" s="970" t="s">
        <v>97</v>
      </c>
      <c r="C7" s="976">
        <f>+'6. OF_TECNOLOGÍA'!AA11</f>
        <v>0.86081002331002332</v>
      </c>
      <c r="E7" s="970" t="s">
        <v>97</v>
      </c>
      <c r="F7" s="976">
        <f>+'6. OF_TECNOLOGÍA'!W11</f>
        <v>0.67143181818181819</v>
      </c>
    </row>
    <row r="8" spans="2:6" x14ac:dyDescent="0.25">
      <c r="B8" s="971" t="s">
        <v>98</v>
      </c>
      <c r="C8" s="977">
        <f>+'3. OF_INNOV_EDUCAT'!AA19</f>
        <v>1.0530909090909091</v>
      </c>
      <c r="E8" s="971" t="s">
        <v>98</v>
      </c>
      <c r="F8" s="981">
        <f>+'3. OF_INNOV_EDUCAT'!W19</f>
        <v>0.72400000000000009</v>
      </c>
    </row>
    <row r="9" spans="2:6" x14ac:dyDescent="0.25">
      <c r="B9" s="970" t="s">
        <v>99</v>
      </c>
      <c r="C9" s="976">
        <f>+'2. OF_COOP_INTERNAC'!AA13</f>
        <v>1.3355555555555556</v>
      </c>
      <c r="E9" s="970" t="s">
        <v>99</v>
      </c>
      <c r="F9" s="976">
        <f>+'2. OF_COOP_INTERNAC'!W13</f>
        <v>1.0016666666666667</v>
      </c>
    </row>
    <row r="10" spans="2:6" x14ac:dyDescent="0.25">
      <c r="B10" s="971" t="s">
        <v>100</v>
      </c>
      <c r="C10" s="977">
        <f>+'1. OF_CONTROL_INTERNO'!AA9</f>
        <v>0.88461538461538469</v>
      </c>
      <c r="E10" s="971" t="s">
        <v>100</v>
      </c>
      <c r="F10" s="977">
        <f>+'1. OF_CONTROL_INTERNO'!W9</f>
        <v>0.69000000000000006</v>
      </c>
    </row>
    <row r="11" spans="2:6" x14ac:dyDescent="0.25">
      <c r="B11" s="968" t="s">
        <v>101</v>
      </c>
      <c r="C11" s="976">
        <f>+'8. SUBDIR_GEST_FINANCIERA'!AA26</f>
        <v>1.0393910614525139</v>
      </c>
      <c r="E11" s="968" t="s">
        <v>101</v>
      </c>
      <c r="F11" s="976">
        <f>+'8. SUBDIR_GEST_FINANCIERA'!W26</f>
        <v>0.77521249999999997</v>
      </c>
    </row>
    <row r="12" spans="2:6" x14ac:dyDescent="0.25">
      <c r="B12" s="971" t="s">
        <v>102</v>
      </c>
      <c r="C12" s="977">
        <f>+'12. SUBDIR_CONTRATACIÓN'!AA10</f>
        <v>3.3820000000000001</v>
      </c>
      <c r="E12" s="971" t="s">
        <v>102</v>
      </c>
      <c r="F12" s="977">
        <f>+'12. SUBDIR_CONTRATACIÓN'!W10</f>
        <v>0.84550000000000003</v>
      </c>
    </row>
    <row r="13" spans="2:6" x14ac:dyDescent="0.25">
      <c r="B13" s="970" t="s">
        <v>103</v>
      </c>
      <c r="C13" s="976">
        <f>+'11. SUBDIR_ADMINISTRATIVA'!AA18</f>
        <v>0.99991140363604603</v>
      </c>
      <c r="E13" s="970" t="s">
        <v>103</v>
      </c>
      <c r="F13" s="976">
        <f>+'11. SUBDIR_ADMINISTRATIVA'!W18</f>
        <v>0.77874399999999988</v>
      </c>
    </row>
    <row r="14" spans="2:6" x14ac:dyDescent="0.25">
      <c r="B14" s="972" t="s">
        <v>104</v>
      </c>
      <c r="C14" s="977">
        <f>+'9, SUBDIR_TALENTO_HUMANO'!AA30</f>
        <v>0.97219171917191727</v>
      </c>
      <c r="E14" s="972" t="s">
        <v>104</v>
      </c>
      <c r="F14" s="977">
        <f>+'9, SUBDIR_TALENTO_HUMANO'!W30</f>
        <v>0.7200700000000001</v>
      </c>
    </row>
    <row r="15" spans="2:6" x14ac:dyDescent="0.25">
      <c r="B15" s="968" t="s">
        <v>105</v>
      </c>
      <c r="C15" s="976">
        <f>+'7. SUBDIR_DES_ORG'!X23</f>
        <v>0.61298333333333344</v>
      </c>
      <c r="E15" s="968" t="s">
        <v>105</v>
      </c>
      <c r="F15" s="976">
        <f>+'7. SUBDIR_DES_ORG'!AB23</f>
        <v>0.97725521456091402</v>
      </c>
    </row>
    <row r="16" spans="2:6" ht="15.75" thickBot="1" x14ac:dyDescent="0.3">
      <c r="B16" s="973" t="s">
        <v>106</v>
      </c>
      <c r="C16" s="978">
        <f>+'9, SUBDIR_TALENTO_HUMANO'!AA30</f>
        <v>0.97219171917191727</v>
      </c>
      <c r="E16" s="973" t="s">
        <v>106</v>
      </c>
      <c r="F16" s="978">
        <f>+'9, SUBDIR_TALENTO_HUMANO'!W30</f>
        <v>0.7200700000000001</v>
      </c>
    </row>
    <row r="17" ht="27" customHeight="1" thickTop="1" x14ac:dyDescent="0.25"/>
  </sheetData>
  <mergeCells count="2">
    <mergeCell ref="B2:C2"/>
    <mergeCell ref="E2:F2"/>
  </mergeCells>
  <pageMargins left="0.7" right="0.7" top="0.75" bottom="0.75" header="0.3" footer="0.3"/>
  <ignoredErrors>
    <ignoredError sqref="F15 C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B22"/>
  <sheetViews>
    <sheetView topLeftCell="A4" zoomScale="80" zoomScaleNormal="80" workbookViewId="0">
      <selection activeCell="D19" sqref="D19"/>
    </sheetView>
  </sheetViews>
  <sheetFormatPr baseColWidth="10" defaultRowHeight="15" x14ac:dyDescent="0.25"/>
  <cols>
    <col min="1" max="1" width="4.28515625" customWidth="1"/>
    <col min="2" max="2" width="29.7109375" customWidth="1"/>
    <col min="3" max="3" width="13.28515625" customWidth="1"/>
    <col min="4" max="4" width="36" customWidth="1"/>
    <col min="10" max="12" width="11.42578125" customWidth="1"/>
    <col min="14" max="16" width="0" hidden="1" customWidth="1"/>
    <col min="18" max="20" width="0" hidden="1" customWidth="1"/>
    <col min="22" max="24" width="0" hidden="1" customWidth="1"/>
  </cols>
  <sheetData>
    <row r="3" spans="2:28" ht="28.5" x14ac:dyDescent="0.45">
      <c r="B3" s="1065" t="s">
        <v>21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</row>
    <row r="5" spans="2:28" ht="39.75" customHeight="1" x14ac:dyDescent="0.25">
      <c r="B5" s="1066" t="s">
        <v>0</v>
      </c>
      <c r="C5" s="1067" t="s">
        <v>1</v>
      </c>
      <c r="D5" s="1066" t="s">
        <v>2</v>
      </c>
      <c r="E5" s="1068" t="s">
        <v>3</v>
      </c>
      <c r="F5" s="1069"/>
      <c r="G5" s="1069"/>
      <c r="H5" s="1069"/>
      <c r="I5" s="1068" t="s">
        <v>4</v>
      </c>
      <c r="J5" s="1069"/>
      <c r="K5" s="1069"/>
      <c r="L5" s="1069"/>
      <c r="M5" s="1068" t="s">
        <v>16</v>
      </c>
      <c r="N5" s="1068"/>
      <c r="O5" s="1068"/>
      <c r="P5" s="1068"/>
      <c r="Q5" s="1068" t="s">
        <v>5</v>
      </c>
      <c r="R5" s="1068"/>
      <c r="S5" s="1068"/>
      <c r="T5" s="1068"/>
      <c r="U5" s="1068" t="s">
        <v>6</v>
      </c>
      <c r="V5" s="1068"/>
      <c r="W5" s="1068"/>
      <c r="X5" s="1068"/>
      <c r="Y5" s="1068" t="s">
        <v>7</v>
      </c>
      <c r="Z5" s="1068"/>
      <c r="AA5" s="1068"/>
      <c r="AB5" s="1068"/>
    </row>
    <row r="6" spans="2:28" x14ac:dyDescent="0.25">
      <c r="B6" s="1066"/>
      <c r="C6" s="1067"/>
      <c r="D6" s="1066"/>
      <c r="E6" s="266" t="s">
        <v>8</v>
      </c>
      <c r="F6" s="266" t="s">
        <v>9</v>
      </c>
      <c r="G6" s="266" t="s">
        <v>10</v>
      </c>
      <c r="H6" s="266" t="s">
        <v>11</v>
      </c>
      <c r="I6" s="266" t="s">
        <v>8</v>
      </c>
      <c r="J6" s="266" t="s">
        <v>9</v>
      </c>
      <c r="K6" s="266" t="s">
        <v>10</v>
      </c>
      <c r="L6" s="266" t="s">
        <v>11</v>
      </c>
      <c r="M6" s="266" t="s">
        <v>8</v>
      </c>
      <c r="N6" s="266" t="s">
        <v>9</v>
      </c>
      <c r="O6" s="266" t="s">
        <v>10</v>
      </c>
      <c r="P6" s="266" t="s">
        <v>11</v>
      </c>
      <c r="Q6" s="266" t="s">
        <v>8</v>
      </c>
      <c r="R6" s="266" t="s">
        <v>9</v>
      </c>
      <c r="S6" s="266" t="s">
        <v>10</v>
      </c>
      <c r="T6" s="266" t="s">
        <v>11</v>
      </c>
      <c r="U6" s="266" t="s">
        <v>8</v>
      </c>
      <c r="V6" s="266" t="s">
        <v>9</v>
      </c>
      <c r="W6" s="266" t="s">
        <v>10</v>
      </c>
      <c r="X6" s="266" t="s">
        <v>11</v>
      </c>
      <c r="Y6" s="266" t="s">
        <v>8</v>
      </c>
      <c r="Z6" s="266" t="s">
        <v>9</v>
      </c>
      <c r="AA6" s="266" t="s">
        <v>10</v>
      </c>
      <c r="AB6" s="266" t="s">
        <v>11</v>
      </c>
    </row>
    <row r="7" spans="2:28" s="71" customFormat="1" ht="81.75" customHeight="1" x14ac:dyDescent="0.25">
      <c r="B7" s="1071" t="s">
        <v>22</v>
      </c>
      <c r="C7" s="1074">
        <v>0.7</v>
      </c>
      <c r="D7" s="269" t="s">
        <v>23</v>
      </c>
      <c r="E7" s="58">
        <v>0.25</v>
      </c>
      <c r="F7" s="59">
        <v>0.5</v>
      </c>
      <c r="G7" s="59">
        <v>0.75</v>
      </c>
      <c r="H7" s="60">
        <v>1</v>
      </c>
      <c r="I7" s="270">
        <v>0.23</v>
      </c>
      <c r="J7" s="59"/>
      <c r="K7" s="59"/>
      <c r="L7" s="60"/>
      <c r="M7" s="1044">
        <f>+AVERAGE(E7:E11)*$C$7</f>
        <v>0.17499999999999999</v>
      </c>
      <c r="N7" s="1045">
        <f>+AVERAGE(F7:F11)*$C$7</f>
        <v>0.35</v>
      </c>
      <c r="O7" s="1045">
        <f>+AVERAGE(G7:G11)*$C$7</f>
        <v>0.52499999999999991</v>
      </c>
      <c r="P7" s="1049">
        <f>+AVERAGE(H7:H11)*$C$7</f>
        <v>0.7</v>
      </c>
      <c r="Q7" s="1070">
        <f>+AVERAGE(I7:I11)</f>
        <v>0.27599999999999997</v>
      </c>
      <c r="R7" s="1070" t="e">
        <f>+AVERAGE(J7:J11)</f>
        <v>#DIV/0!</v>
      </c>
      <c r="S7" s="1070" t="e">
        <f>+AVERAGE(K7:K11)</f>
        <v>#DIV/0!</v>
      </c>
      <c r="T7" s="1070" t="e">
        <f>+AVERAGE(L7:L11)</f>
        <v>#DIV/0!</v>
      </c>
      <c r="U7" s="1044">
        <f>+Q7*$C$7</f>
        <v>0.19319999999999996</v>
      </c>
      <c r="V7" s="1045" t="e">
        <f>+R7*$C$7</f>
        <v>#DIV/0!</v>
      </c>
      <c r="W7" s="1045" t="e">
        <f>+S7*$C$7</f>
        <v>#DIV/0!</v>
      </c>
      <c r="X7" s="1049" t="e">
        <f>+T7*$C$7</f>
        <v>#DIV/0!</v>
      </c>
      <c r="Y7" s="1070">
        <f>+U7/M7</f>
        <v>1.1039999999999999</v>
      </c>
      <c r="Z7" s="1083" t="e">
        <f>+V7/N7</f>
        <v>#DIV/0!</v>
      </c>
      <c r="AA7" s="1083" t="e">
        <f>+W7/O7</f>
        <v>#DIV/0!</v>
      </c>
      <c r="AB7" s="1084" t="e">
        <f>+X7/P7</f>
        <v>#DIV/0!</v>
      </c>
    </row>
    <row r="8" spans="2:28" s="71" customFormat="1" ht="32.25" customHeight="1" x14ac:dyDescent="0.25">
      <c r="B8" s="1072"/>
      <c r="C8" s="1074"/>
      <c r="D8" s="77" t="s">
        <v>24</v>
      </c>
      <c r="E8" s="80">
        <v>0.25</v>
      </c>
      <c r="F8" s="72">
        <v>0.5</v>
      </c>
      <c r="G8" s="72">
        <v>0.75</v>
      </c>
      <c r="H8" s="81">
        <v>1</v>
      </c>
      <c r="I8" s="232">
        <v>0.25</v>
      </c>
      <c r="J8" s="72"/>
      <c r="K8" s="72"/>
      <c r="L8" s="81"/>
      <c r="M8" s="1013"/>
      <c r="N8" s="1016"/>
      <c r="O8" s="1016"/>
      <c r="P8" s="1019"/>
      <c r="Q8" s="1070"/>
      <c r="R8" s="1070"/>
      <c r="S8" s="1070"/>
      <c r="T8" s="1070"/>
      <c r="U8" s="1013"/>
      <c r="V8" s="1016"/>
      <c r="W8" s="1016"/>
      <c r="X8" s="1019"/>
      <c r="Y8" s="1070"/>
      <c r="Z8" s="1083"/>
      <c r="AA8" s="1083"/>
      <c r="AB8" s="1084"/>
    </row>
    <row r="9" spans="2:28" s="71" customFormat="1" ht="69" customHeight="1" x14ac:dyDescent="0.25">
      <c r="B9" s="1072"/>
      <c r="C9" s="1074"/>
      <c r="D9" s="77" t="s">
        <v>25</v>
      </c>
      <c r="E9" s="80">
        <v>0.25</v>
      </c>
      <c r="F9" s="72">
        <v>0.5</v>
      </c>
      <c r="G9" s="72">
        <v>0.75</v>
      </c>
      <c r="H9" s="81">
        <v>1</v>
      </c>
      <c r="I9" s="232">
        <v>0.25</v>
      </c>
      <c r="J9" s="72"/>
      <c r="K9" s="72"/>
      <c r="L9" s="81"/>
      <c r="M9" s="1013"/>
      <c r="N9" s="1016"/>
      <c r="O9" s="1016"/>
      <c r="P9" s="1019"/>
      <c r="Q9" s="1070"/>
      <c r="R9" s="1070"/>
      <c r="S9" s="1070"/>
      <c r="T9" s="1070"/>
      <c r="U9" s="1013"/>
      <c r="V9" s="1016"/>
      <c r="W9" s="1016"/>
      <c r="X9" s="1019"/>
      <c r="Y9" s="1070"/>
      <c r="Z9" s="1083"/>
      <c r="AA9" s="1083"/>
      <c r="AB9" s="1084"/>
    </row>
    <row r="10" spans="2:28" s="71" customFormat="1" ht="54.75" customHeight="1" x14ac:dyDescent="0.25">
      <c r="B10" s="1072"/>
      <c r="C10" s="1074"/>
      <c r="D10" s="77" t="s">
        <v>26</v>
      </c>
      <c r="E10" s="80">
        <v>0.25</v>
      </c>
      <c r="F10" s="72">
        <v>0.5</v>
      </c>
      <c r="G10" s="72">
        <v>0.75</v>
      </c>
      <c r="H10" s="81">
        <v>1</v>
      </c>
      <c r="I10" s="232">
        <v>0.4</v>
      </c>
      <c r="J10" s="72"/>
      <c r="K10" s="72"/>
      <c r="L10" s="81"/>
      <c r="M10" s="1013"/>
      <c r="N10" s="1016"/>
      <c r="O10" s="1016"/>
      <c r="P10" s="1019"/>
      <c r="Q10" s="1070"/>
      <c r="R10" s="1070"/>
      <c r="S10" s="1070"/>
      <c r="T10" s="1070"/>
      <c r="U10" s="1013"/>
      <c r="V10" s="1016"/>
      <c r="W10" s="1016"/>
      <c r="X10" s="1019"/>
      <c r="Y10" s="1070"/>
      <c r="Z10" s="1083"/>
      <c r="AA10" s="1083"/>
      <c r="AB10" s="1084"/>
    </row>
    <row r="11" spans="2:28" ht="84.75" customHeight="1" thickBot="1" x14ac:dyDescent="0.3">
      <c r="B11" s="1073"/>
      <c r="C11" s="1075"/>
      <c r="D11" s="78" t="s">
        <v>27</v>
      </c>
      <c r="E11" s="82">
        <v>0.25</v>
      </c>
      <c r="F11" s="73">
        <v>0.5</v>
      </c>
      <c r="G11" s="73">
        <v>0.75</v>
      </c>
      <c r="H11" s="83">
        <v>1</v>
      </c>
      <c r="I11" s="234">
        <v>0.25</v>
      </c>
      <c r="J11" s="73"/>
      <c r="K11" s="73"/>
      <c r="L11" s="83"/>
      <c r="M11" s="1080"/>
      <c r="N11" s="1081"/>
      <c r="O11" s="1081"/>
      <c r="P11" s="1082"/>
      <c r="Q11" s="1070"/>
      <c r="R11" s="1070"/>
      <c r="S11" s="1070"/>
      <c r="T11" s="1070"/>
      <c r="U11" s="1080"/>
      <c r="V11" s="1081"/>
      <c r="W11" s="1081"/>
      <c r="X11" s="1082"/>
      <c r="Y11" s="1070"/>
      <c r="Z11" s="1083"/>
      <c r="AA11" s="1083"/>
      <c r="AB11" s="1084"/>
    </row>
    <row r="12" spans="2:28" ht="49.5" customHeight="1" x14ac:dyDescent="0.25">
      <c r="B12" s="1076" t="s">
        <v>28</v>
      </c>
      <c r="C12" s="1079">
        <v>0.3</v>
      </c>
      <c r="D12" s="76" t="s">
        <v>29</v>
      </c>
      <c r="E12" s="61">
        <v>0.25</v>
      </c>
      <c r="F12" s="62">
        <v>0.5</v>
      </c>
      <c r="G12" s="62">
        <v>0.75</v>
      </c>
      <c r="H12" s="63">
        <v>1</v>
      </c>
      <c r="I12" s="235">
        <v>0.25</v>
      </c>
      <c r="J12" s="62"/>
      <c r="K12" s="62"/>
      <c r="L12" s="63"/>
      <c r="M12" s="1012">
        <f>+AVERAGE(E12:E15)*$C$12</f>
        <v>4.1249999999999995E-2</v>
      </c>
      <c r="N12" s="1015">
        <f>+AVERAGE(F12:F15)*$C$12</f>
        <v>0.10875</v>
      </c>
      <c r="O12" s="1015">
        <f>+AVERAGE(G12:G15)*$C$12</f>
        <v>0.22499999999999998</v>
      </c>
      <c r="P12" s="1085">
        <f>+AVERAGE(H12:H15)*$C$12</f>
        <v>0.3</v>
      </c>
      <c r="Q12" s="1012">
        <f>+AVERAGE(I12:I15)</f>
        <v>0.19999999999999998</v>
      </c>
      <c r="R12" s="1015" t="e">
        <f>+AVERAGE(J12:J15)</f>
        <v>#DIV/0!</v>
      </c>
      <c r="S12" s="1015" t="e">
        <f>+AVERAGE(K12:K15)</f>
        <v>#DIV/0!</v>
      </c>
      <c r="T12" s="1018" t="e">
        <f>+AVERAGE(L12:L15)</f>
        <v>#DIV/0!</v>
      </c>
      <c r="U12" s="1021">
        <f>+Q12*$C$12</f>
        <v>5.9999999999999991E-2</v>
      </c>
      <c r="V12" s="1021" t="e">
        <f>+R12*$C$12</f>
        <v>#DIV/0!</v>
      </c>
      <c r="W12" s="1021" t="e">
        <f>+S12*$C$12</f>
        <v>#DIV/0!</v>
      </c>
      <c r="X12" s="1021" t="e">
        <f>+T12*$C$12</f>
        <v>#DIV/0!</v>
      </c>
      <c r="Y12" s="1012">
        <f t="shared" ref="Y12:AB15" si="0">+U12/M12</f>
        <v>1.4545454545454546</v>
      </c>
      <c r="Z12" s="1015" t="e">
        <f t="shared" si="0"/>
        <v>#DIV/0!</v>
      </c>
      <c r="AA12" s="1015" t="e">
        <f t="shared" si="0"/>
        <v>#DIV/0!</v>
      </c>
      <c r="AB12" s="1018" t="e">
        <f t="shared" si="0"/>
        <v>#DIV/0!</v>
      </c>
    </row>
    <row r="13" spans="2:28" ht="58.5" customHeight="1" x14ac:dyDescent="0.25">
      <c r="B13" s="1077"/>
      <c r="C13" s="1074"/>
      <c r="D13" s="77" t="s">
        <v>30</v>
      </c>
      <c r="E13" s="80">
        <v>0.1</v>
      </c>
      <c r="F13" s="72">
        <v>0.25</v>
      </c>
      <c r="G13" s="72">
        <v>0.75</v>
      </c>
      <c r="H13" s="81">
        <v>1</v>
      </c>
      <c r="I13" s="232">
        <v>0.15</v>
      </c>
      <c r="J13" s="72"/>
      <c r="K13" s="72"/>
      <c r="L13" s="81"/>
      <c r="M13" s="1013"/>
      <c r="N13" s="1016"/>
      <c r="O13" s="1016"/>
      <c r="P13" s="1052"/>
      <c r="Q13" s="1013"/>
      <c r="R13" s="1016"/>
      <c r="S13" s="1016"/>
      <c r="T13" s="1019"/>
      <c r="U13" s="1022">
        <f t="shared" ref="U13:X15" si="1">+Q13*$C$11</f>
        <v>0</v>
      </c>
      <c r="V13" s="1022">
        <f t="shared" si="1"/>
        <v>0</v>
      </c>
      <c r="W13" s="1022">
        <f t="shared" si="1"/>
        <v>0</v>
      </c>
      <c r="X13" s="1022">
        <f t="shared" si="1"/>
        <v>0</v>
      </c>
      <c r="Y13" s="1013" t="e">
        <f t="shared" si="0"/>
        <v>#DIV/0!</v>
      </c>
      <c r="Z13" s="1016" t="e">
        <f t="shared" si="0"/>
        <v>#DIV/0!</v>
      </c>
      <c r="AA13" s="1016" t="e">
        <f t="shared" si="0"/>
        <v>#DIV/0!</v>
      </c>
      <c r="AB13" s="1019" t="e">
        <f t="shared" si="0"/>
        <v>#DIV/0!</v>
      </c>
    </row>
    <row r="14" spans="2:28" ht="74.25" customHeight="1" x14ac:dyDescent="0.25">
      <c r="B14" s="1077"/>
      <c r="C14" s="1074"/>
      <c r="D14" s="77" t="s">
        <v>31</v>
      </c>
      <c r="E14" s="80">
        <v>0.1</v>
      </c>
      <c r="F14" s="72">
        <v>0.2</v>
      </c>
      <c r="G14" s="72">
        <v>0.75</v>
      </c>
      <c r="H14" s="81">
        <v>1</v>
      </c>
      <c r="I14" s="232">
        <v>0.3</v>
      </c>
      <c r="J14" s="72"/>
      <c r="K14" s="72"/>
      <c r="L14" s="81"/>
      <c r="M14" s="1013"/>
      <c r="N14" s="1016"/>
      <c r="O14" s="1016"/>
      <c r="P14" s="1052"/>
      <c r="Q14" s="1013"/>
      <c r="R14" s="1016"/>
      <c r="S14" s="1016"/>
      <c r="T14" s="1019"/>
      <c r="U14" s="1022">
        <f t="shared" si="1"/>
        <v>0</v>
      </c>
      <c r="V14" s="1022">
        <f t="shared" si="1"/>
        <v>0</v>
      </c>
      <c r="W14" s="1022">
        <f t="shared" si="1"/>
        <v>0</v>
      </c>
      <c r="X14" s="1022">
        <f t="shared" si="1"/>
        <v>0</v>
      </c>
      <c r="Y14" s="1013" t="e">
        <f t="shared" si="0"/>
        <v>#DIV/0!</v>
      </c>
      <c r="Z14" s="1016" t="e">
        <f t="shared" si="0"/>
        <v>#DIV/0!</v>
      </c>
      <c r="AA14" s="1016" t="e">
        <f t="shared" si="0"/>
        <v>#DIV/0!</v>
      </c>
      <c r="AB14" s="1019" t="e">
        <f t="shared" si="0"/>
        <v>#DIV/0!</v>
      </c>
    </row>
    <row r="15" spans="2:28" ht="66.75" customHeight="1" thickBot="1" x14ac:dyDescent="0.3">
      <c r="B15" s="1078"/>
      <c r="C15" s="1075"/>
      <c r="D15" s="78" t="s">
        <v>32</v>
      </c>
      <c r="E15" s="82">
        <v>0.1</v>
      </c>
      <c r="F15" s="73">
        <v>0.5</v>
      </c>
      <c r="G15" s="73">
        <v>0.75</v>
      </c>
      <c r="H15" s="83">
        <v>1</v>
      </c>
      <c r="I15" s="234">
        <v>0.1</v>
      </c>
      <c r="J15" s="73"/>
      <c r="K15" s="73"/>
      <c r="L15" s="83"/>
      <c r="M15" s="1014"/>
      <c r="N15" s="1017"/>
      <c r="O15" s="1017"/>
      <c r="P15" s="1086"/>
      <c r="Q15" s="1014"/>
      <c r="R15" s="1017"/>
      <c r="S15" s="1017"/>
      <c r="T15" s="1020"/>
      <c r="U15" s="1087">
        <f t="shared" si="1"/>
        <v>0</v>
      </c>
      <c r="V15" s="1087">
        <f t="shared" si="1"/>
        <v>0</v>
      </c>
      <c r="W15" s="1087">
        <f t="shared" si="1"/>
        <v>0</v>
      </c>
      <c r="X15" s="1087">
        <f t="shared" si="1"/>
        <v>0</v>
      </c>
      <c r="Y15" s="1014" t="e">
        <f t="shared" si="0"/>
        <v>#DIV/0!</v>
      </c>
      <c r="Z15" s="1017" t="e">
        <f t="shared" si="0"/>
        <v>#DIV/0!</v>
      </c>
      <c r="AA15" s="1017" t="e">
        <f t="shared" si="0"/>
        <v>#DIV/0!</v>
      </c>
      <c r="AB15" s="1020" t="e">
        <f t="shared" si="0"/>
        <v>#DIV/0!</v>
      </c>
    </row>
    <row r="16" spans="2:28" s="67" customFormat="1" ht="23.25" customHeight="1" thickBot="1" x14ac:dyDescent="0.3">
      <c r="B16" s="74" t="s">
        <v>12</v>
      </c>
      <c r="C16" s="75">
        <f>SUM(C7:C14)</f>
        <v>1</v>
      </c>
      <c r="D16" s="79"/>
      <c r="E16" s="64"/>
      <c r="F16" s="46"/>
      <c r="G16" s="46"/>
      <c r="H16" s="47"/>
      <c r="I16" s="64"/>
      <c r="J16" s="46"/>
      <c r="K16" s="46"/>
      <c r="L16" s="47"/>
      <c r="M16" s="102">
        <f>SUM(M7:M15)</f>
        <v>0.21625</v>
      </c>
      <c r="N16" s="69"/>
      <c r="O16" s="69"/>
      <c r="P16" s="70"/>
      <c r="Q16" s="102"/>
      <c r="R16" s="69"/>
      <c r="S16" s="69"/>
      <c r="T16" s="86"/>
      <c r="U16" s="64">
        <f>SUM(U7:U15)</f>
        <v>0.25319999999999993</v>
      </c>
      <c r="V16" s="65" t="e">
        <f>SUM(V7:V15)</f>
        <v>#DIV/0!</v>
      </c>
      <c r="W16" s="65" t="e">
        <f>SUM(W7:W15)</f>
        <v>#DIV/0!</v>
      </c>
      <c r="X16" s="66" t="e">
        <f>SUM(X7:X15)</f>
        <v>#DIV/0!</v>
      </c>
      <c r="Y16" s="105">
        <f>+U16/M16</f>
        <v>1.170867052023121</v>
      </c>
      <c r="Z16" s="69"/>
      <c r="AA16" s="69"/>
      <c r="AB16" s="70"/>
    </row>
    <row r="18" spans="7:12" x14ac:dyDescent="0.25">
      <c r="G18" t="s">
        <v>129</v>
      </c>
      <c r="H18" s="228"/>
      <c r="I18" s="231">
        <f>3/9</f>
        <v>0.33333333333333331</v>
      </c>
      <c r="L18" s="231">
        <f>3/9</f>
        <v>0.33333333333333331</v>
      </c>
    </row>
    <row r="19" spans="7:12" x14ac:dyDescent="0.25">
      <c r="G19" t="s">
        <v>130</v>
      </c>
      <c r="H19" s="229"/>
      <c r="I19" s="231">
        <f>5/9</f>
        <v>0.55555555555555558</v>
      </c>
      <c r="L19" s="231">
        <f>5/9</f>
        <v>0.55555555555555558</v>
      </c>
    </row>
    <row r="20" spans="7:12" x14ac:dyDescent="0.25">
      <c r="G20" t="s">
        <v>131</v>
      </c>
      <c r="H20" s="230"/>
      <c r="I20" s="231">
        <f>1/9</f>
        <v>0.1111111111111111</v>
      </c>
      <c r="L20" s="231">
        <f>1/9</f>
        <v>0.1111111111111111</v>
      </c>
    </row>
    <row r="22" spans="7:12" x14ac:dyDescent="0.25">
      <c r="I22" s="233">
        <f>SUM(I18:I21)</f>
        <v>1</v>
      </c>
      <c r="L22" s="233">
        <f>SUM(L18:L21)</f>
        <v>1</v>
      </c>
    </row>
  </sheetData>
  <mergeCells count="46">
    <mergeCell ref="AA12:AA15"/>
    <mergeCell ref="AB12:AB15"/>
    <mergeCell ref="U12:U15"/>
    <mergeCell ref="V12:V15"/>
    <mergeCell ref="W12:W15"/>
    <mergeCell ref="X12:X15"/>
    <mergeCell ref="Y12:Y15"/>
    <mergeCell ref="Z12:Z15"/>
    <mergeCell ref="AA7:AA11"/>
    <mergeCell ref="AB7:AB11"/>
    <mergeCell ref="M12:M15"/>
    <mergeCell ref="N12:N15"/>
    <mergeCell ref="O12:O15"/>
    <mergeCell ref="P12:P15"/>
    <mergeCell ref="Q12:Q15"/>
    <mergeCell ref="R12:R15"/>
    <mergeCell ref="S12:S15"/>
    <mergeCell ref="T12:T15"/>
    <mergeCell ref="U7:U11"/>
    <mergeCell ref="V7:V11"/>
    <mergeCell ref="W7:W11"/>
    <mergeCell ref="X7:X11"/>
    <mergeCell ref="Y7:Y11"/>
    <mergeCell ref="Z7:Z11"/>
    <mergeCell ref="T7:T11"/>
    <mergeCell ref="B7:B11"/>
    <mergeCell ref="C7:C11"/>
    <mergeCell ref="B12:B15"/>
    <mergeCell ref="C12:C15"/>
    <mergeCell ref="M7:M11"/>
    <mergeCell ref="N7:N11"/>
    <mergeCell ref="O7:O11"/>
    <mergeCell ref="P7:P11"/>
    <mergeCell ref="Q7:Q11"/>
    <mergeCell ref="R7:R11"/>
    <mergeCell ref="S7:S11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19"/>
  <sheetViews>
    <sheetView topLeftCell="A10" zoomScale="80" zoomScaleNormal="80" workbookViewId="0">
      <selection activeCell="K16" sqref="K16"/>
    </sheetView>
  </sheetViews>
  <sheetFormatPr baseColWidth="10" defaultRowHeight="15" x14ac:dyDescent="0.25"/>
  <cols>
    <col min="1" max="1" width="4.28515625" customWidth="1"/>
    <col min="2" max="2" width="29.7109375" customWidth="1"/>
    <col min="3" max="3" width="18.42578125" customWidth="1"/>
    <col min="4" max="4" width="36" customWidth="1"/>
    <col min="5" max="5" width="15.140625" hidden="1" customWidth="1"/>
    <col min="6" max="6" width="15" hidden="1" customWidth="1"/>
    <col min="7" max="7" width="15.140625" customWidth="1"/>
    <col min="8" max="8" width="13.7109375" hidden="1" customWidth="1"/>
    <col min="9" max="9" width="17.140625" hidden="1" customWidth="1"/>
    <col min="10" max="10" width="16.85546875" hidden="1" customWidth="1"/>
    <col min="11" max="11" width="15.7109375" customWidth="1"/>
    <col min="12" max="12" width="11.42578125" hidden="1" customWidth="1"/>
    <col min="13" max="13" width="6.7109375" hidden="1" customWidth="1"/>
    <col min="14" max="14" width="27.42578125" hidden="1" customWidth="1"/>
    <col min="15" max="15" width="27.28515625" customWidth="1"/>
    <col min="16" max="16" width="12.42578125" hidden="1" customWidth="1"/>
    <col min="17" max="17" width="24.28515625" hidden="1" customWidth="1"/>
    <col min="18" max="18" width="1.42578125" hidden="1" customWidth="1"/>
    <col min="19" max="19" width="28.5703125" customWidth="1"/>
    <col min="20" max="20" width="13.85546875" hidden="1" customWidth="1"/>
    <col min="21" max="21" width="21.28515625" hidden="1" customWidth="1"/>
    <col min="22" max="22" width="14.140625" hidden="1" customWidth="1"/>
    <col min="23" max="23" width="21.85546875" customWidth="1"/>
    <col min="24" max="24" width="11.28515625" hidden="1" customWidth="1"/>
    <col min="25" max="25" width="21.5703125" hidden="1" customWidth="1"/>
    <col min="26" max="26" width="22.5703125" hidden="1" customWidth="1"/>
    <col min="27" max="27" width="23.7109375" customWidth="1"/>
    <col min="28" max="28" width="13.28515625" hidden="1" customWidth="1"/>
  </cols>
  <sheetData>
    <row r="2" spans="2:28" ht="15.75" thickBot="1" x14ac:dyDescent="0.3"/>
    <row r="3" spans="2:28" ht="35.25" thickTop="1" thickBot="1" x14ac:dyDescent="0.55000000000000004">
      <c r="B3" s="1091" t="s">
        <v>327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  <c r="U3" s="1092"/>
      <c r="V3" s="1092"/>
      <c r="W3" s="1092"/>
      <c r="X3" s="1092"/>
      <c r="Y3" s="1092"/>
      <c r="Z3" s="1092"/>
      <c r="AA3" s="1092"/>
      <c r="AB3" s="1093"/>
    </row>
    <row r="4" spans="2:28" ht="20.25" customHeight="1" thickTop="1" thickBot="1" x14ac:dyDescent="0.3"/>
    <row r="5" spans="2:28" ht="88.5" customHeight="1" thickTop="1" x14ac:dyDescent="0.25">
      <c r="B5" s="1094" t="s">
        <v>0</v>
      </c>
      <c r="C5" s="1096" t="s">
        <v>1</v>
      </c>
      <c r="D5" s="1098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100" t="s">
        <v>5</v>
      </c>
      <c r="R5" s="1101"/>
      <c r="S5" s="1101"/>
      <c r="T5" s="1102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ht="33" customHeight="1" thickBot="1" x14ac:dyDescent="0.3">
      <c r="B6" s="1095"/>
      <c r="C6" s="1097"/>
      <c r="D6" s="1099"/>
      <c r="E6" s="633" t="s">
        <v>8</v>
      </c>
      <c r="F6" s="633" t="s">
        <v>9</v>
      </c>
      <c r="G6" s="633" t="s">
        <v>10</v>
      </c>
      <c r="H6" s="633" t="s">
        <v>11</v>
      </c>
      <c r="I6" s="633" t="s">
        <v>8</v>
      </c>
      <c r="J6" s="633" t="s">
        <v>9</v>
      </c>
      <c r="K6" s="633" t="s">
        <v>10</v>
      </c>
      <c r="L6" s="633" t="s">
        <v>11</v>
      </c>
      <c r="M6" s="633" t="s">
        <v>8</v>
      </c>
      <c r="N6" s="633" t="s">
        <v>9</v>
      </c>
      <c r="O6" s="633" t="s">
        <v>10</v>
      </c>
      <c r="P6" s="633" t="s">
        <v>11</v>
      </c>
      <c r="Q6" s="633" t="s">
        <v>8</v>
      </c>
      <c r="R6" s="633" t="s">
        <v>9</v>
      </c>
      <c r="S6" s="633" t="s">
        <v>10</v>
      </c>
      <c r="T6" s="633" t="s">
        <v>11</v>
      </c>
      <c r="U6" s="633" t="s">
        <v>8</v>
      </c>
      <c r="V6" s="633" t="s">
        <v>9</v>
      </c>
      <c r="W6" s="633" t="s">
        <v>10</v>
      </c>
      <c r="X6" s="633" t="s">
        <v>11</v>
      </c>
      <c r="Y6" s="635" t="s">
        <v>8</v>
      </c>
      <c r="Z6" s="691" t="s">
        <v>9</v>
      </c>
      <c r="AA6" s="655" t="s">
        <v>10</v>
      </c>
      <c r="AB6" s="656" t="s">
        <v>11</v>
      </c>
    </row>
    <row r="7" spans="2:28" s="71" customFormat="1" ht="101.25" customHeight="1" thickTop="1" x14ac:dyDescent="0.25">
      <c r="B7" s="1088" t="s">
        <v>132</v>
      </c>
      <c r="C7" s="1074">
        <v>1</v>
      </c>
      <c r="D7" s="879" t="s">
        <v>133</v>
      </c>
      <c r="E7" s="880">
        <v>0.25</v>
      </c>
      <c r="F7" s="880">
        <v>0.5</v>
      </c>
      <c r="G7" s="880">
        <v>0.75</v>
      </c>
      <c r="H7" s="880">
        <v>1</v>
      </c>
      <c r="I7" s="555">
        <v>0.185</v>
      </c>
      <c r="J7" s="619">
        <v>0.51</v>
      </c>
      <c r="K7" s="619">
        <v>1.01</v>
      </c>
      <c r="L7" s="552"/>
      <c r="M7" s="1103">
        <f>+AVERAGE(E7:E12)*$C$7</f>
        <v>0.25</v>
      </c>
      <c r="N7" s="1103">
        <f>+AVERAGE(F7:F12)*$C$7</f>
        <v>0.5</v>
      </c>
      <c r="O7" s="1103">
        <f>+AVERAGE(G7:G12)*$C$7</f>
        <v>0.75</v>
      </c>
      <c r="P7" s="1103">
        <f>+AVERAGE(H7:H12)*$C$7</f>
        <v>1</v>
      </c>
      <c r="Q7" s="1103">
        <f>+AVERAGE(I7:I12)</f>
        <v>0.23916666666666667</v>
      </c>
      <c r="R7" s="1103">
        <f>+AVERAGE(J7:J11)</f>
        <v>0.502</v>
      </c>
      <c r="S7" s="1103">
        <f>+AVERAGE(K7:K12)</f>
        <v>1.0016666666666667</v>
      </c>
      <c r="T7" s="1103" t="e">
        <f>+AVERAGE(L7:L11)</f>
        <v>#DIV/0!</v>
      </c>
      <c r="U7" s="1103">
        <f>+Q7*$C$7</f>
        <v>0.23916666666666667</v>
      </c>
      <c r="V7" s="1103">
        <f>+R7*$C$7</f>
        <v>0.502</v>
      </c>
      <c r="W7" s="1103">
        <f>+S7*$C$7</f>
        <v>1.0016666666666667</v>
      </c>
      <c r="X7" s="1103" t="e">
        <f>+T7*$C$7</f>
        <v>#DIV/0!</v>
      </c>
      <c r="Y7" s="1109">
        <f>+U7/M7</f>
        <v>0.95666666666666667</v>
      </c>
      <c r="Z7" s="1111">
        <f>+V7/N7</f>
        <v>1.004</v>
      </c>
      <c r="AA7" s="1105">
        <f>+W7/O7</f>
        <v>1.3355555555555556</v>
      </c>
      <c r="AB7" s="1107" t="e">
        <f>+X7/P7</f>
        <v>#DIV/0!</v>
      </c>
    </row>
    <row r="8" spans="2:28" s="71" customFormat="1" ht="86.25" customHeight="1" x14ac:dyDescent="0.25">
      <c r="B8" s="1088"/>
      <c r="C8" s="1074"/>
      <c r="D8" s="424" t="s">
        <v>134</v>
      </c>
      <c r="E8" s="421">
        <v>0.25</v>
      </c>
      <c r="F8" s="421">
        <v>0.5</v>
      </c>
      <c r="G8" s="421">
        <v>0.75</v>
      </c>
      <c r="H8" s="421">
        <v>1</v>
      </c>
      <c r="I8" s="422">
        <v>0.25</v>
      </c>
      <c r="J8" s="541">
        <v>0.5</v>
      </c>
      <c r="K8" s="541">
        <v>2</v>
      </c>
      <c r="L8" s="409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9"/>
      <c r="Z8" s="1111"/>
      <c r="AA8" s="1105"/>
      <c r="AB8" s="1107"/>
    </row>
    <row r="9" spans="2:28" s="71" customFormat="1" ht="120" customHeight="1" x14ac:dyDescent="0.25">
      <c r="B9" s="1088"/>
      <c r="C9" s="1074"/>
      <c r="D9" s="424" t="s">
        <v>135</v>
      </c>
      <c r="E9" s="421">
        <v>0.25</v>
      </c>
      <c r="F9" s="421">
        <v>0.5</v>
      </c>
      <c r="G9" s="421">
        <v>0.75</v>
      </c>
      <c r="H9" s="421">
        <v>1</v>
      </c>
      <c r="I9" s="422">
        <v>0.25</v>
      </c>
      <c r="J9" s="541">
        <v>0.5</v>
      </c>
      <c r="K9" s="422">
        <v>0.75</v>
      </c>
      <c r="L9" s="409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3"/>
      <c r="Y9" s="1109"/>
      <c r="Z9" s="1111"/>
      <c r="AA9" s="1105"/>
      <c r="AB9" s="1107"/>
    </row>
    <row r="10" spans="2:28" s="71" customFormat="1" ht="36.75" customHeight="1" x14ac:dyDescent="0.25">
      <c r="B10" s="1088"/>
      <c r="C10" s="1074"/>
      <c r="D10" s="424" t="s">
        <v>136</v>
      </c>
      <c r="E10" s="421">
        <v>0.25</v>
      </c>
      <c r="F10" s="421">
        <v>0.5</v>
      </c>
      <c r="G10" s="421">
        <v>0.75</v>
      </c>
      <c r="H10" s="421">
        <v>1</v>
      </c>
      <c r="I10" s="422">
        <v>0.25</v>
      </c>
      <c r="J10" s="541">
        <v>0.5</v>
      </c>
      <c r="K10" s="541">
        <v>0.75</v>
      </c>
      <c r="L10" s="409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9"/>
      <c r="Z10" s="1111"/>
      <c r="AA10" s="1105"/>
      <c r="AB10" s="1107"/>
    </row>
    <row r="11" spans="2:28" ht="63" customHeight="1" x14ac:dyDescent="0.25">
      <c r="B11" s="1088"/>
      <c r="C11" s="1074"/>
      <c r="D11" s="424" t="s">
        <v>137</v>
      </c>
      <c r="E11" s="421">
        <v>0.25</v>
      </c>
      <c r="F11" s="421">
        <v>0.5</v>
      </c>
      <c r="G11" s="421">
        <v>0.75</v>
      </c>
      <c r="H11" s="421">
        <v>1</v>
      </c>
      <c r="I11" s="422">
        <v>0.25</v>
      </c>
      <c r="J11" s="541">
        <v>0.5</v>
      </c>
      <c r="K11" s="541">
        <v>0.75</v>
      </c>
      <c r="L11" s="409"/>
      <c r="M11" s="1103"/>
      <c r="N11" s="1103"/>
      <c r="O11" s="1103"/>
      <c r="P11" s="1103"/>
      <c r="Q11" s="1103"/>
      <c r="R11" s="1103"/>
      <c r="S11" s="1103"/>
      <c r="T11" s="1103"/>
      <c r="U11" s="1103"/>
      <c r="V11" s="1103"/>
      <c r="W11" s="1103"/>
      <c r="X11" s="1103"/>
      <c r="Y11" s="1109"/>
      <c r="Z11" s="1111"/>
      <c r="AA11" s="1105"/>
      <c r="AB11" s="1107"/>
    </row>
    <row r="12" spans="2:28" ht="70.5" customHeight="1" thickBot="1" x14ac:dyDescent="0.3">
      <c r="B12" s="1089"/>
      <c r="C12" s="1090"/>
      <c r="D12" s="876" t="s">
        <v>138</v>
      </c>
      <c r="E12" s="877">
        <v>0.25</v>
      </c>
      <c r="F12" s="877">
        <v>0.5</v>
      </c>
      <c r="G12" s="877">
        <v>0.75</v>
      </c>
      <c r="H12" s="877">
        <v>1</v>
      </c>
      <c r="I12" s="626">
        <v>0.25</v>
      </c>
      <c r="J12" s="878">
        <v>0.5</v>
      </c>
      <c r="K12" s="878">
        <v>0.75</v>
      </c>
      <c r="L12" s="414"/>
      <c r="M12" s="1104"/>
      <c r="N12" s="1104"/>
      <c r="O12" s="1104"/>
      <c r="P12" s="1104"/>
      <c r="Q12" s="1104"/>
      <c r="R12" s="1104"/>
      <c r="S12" s="1104"/>
      <c r="T12" s="1104"/>
      <c r="U12" s="1104"/>
      <c r="V12" s="1104"/>
      <c r="W12" s="1104"/>
      <c r="X12" s="1104"/>
      <c r="Y12" s="1110"/>
      <c r="Z12" s="1112"/>
      <c r="AA12" s="1106"/>
      <c r="AB12" s="1108"/>
    </row>
    <row r="13" spans="2:28" s="600" customFormat="1" ht="23.25" customHeight="1" thickTop="1" thickBot="1" x14ac:dyDescent="0.3">
      <c r="B13" s="882" t="s">
        <v>12</v>
      </c>
      <c r="C13" s="665">
        <f>SUM(C7:C12)</f>
        <v>1</v>
      </c>
      <c r="D13" s="883"/>
      <c r="E13" s="668"/>
      <c r="F13" s="668"/>
      <c r="G13" s="668"/>
      <c r="H13" s="668"/>
      <c r="I13" s="668"/>
      <c r="J13" s="668"/>
      <c r="K13" s="668"/>
      <c r="L13" s="668"/>
      <c r="M13" s="668">
        <f>SUM(M7:M12)</f>
        <v>0.25</v>
      </c>
      <c r="N13" s="668">
        <f>SUM(N7:N12)</f>
        <v>0.5</v>
      </c>
      <c r="O13" s="668">
        <f>SUM(O7:O12)</f>
        <v>0.75</v>
      </c>
      <c r="P13" s="668">
        <f>SUM(P7:P12)</f>
        <v>1</v>
      </c>
      <c r="Q13" s="668"/>
      <c r="R13" s="672"/>
      <c r="S13" s="672"/>
      <c r="T13" s="672"/>
      <c r="U13" s="668">
        <f>SUM(U7)</f>
        <v>0.23916666666666667</v>
      </c>
      <c r="V13" s="668">
        <f>SUM(V7)</f>
        <v>0.502</v>
      </c>
      <c r="W13" s="668">
        <f>SUM(W7)</f>
        <v>1.0016666666666667</v>
      </c>
      <c r="X13" s="668" t="e">
        <f>SUM(X7)</f>
        <v>#DIV/0!</v>
      </c>
      <c r="Y13" s="668">
        <f>+U13/M13</f>
        <v>0.95666666666666667</v>
      </c>
      <c r="Z13" s="860">
        <f>+V13/N13</f>
        <v>1.004</v>
      </c>
      <c r="AA13" s="884">
        <f>+W13/O13</f>
        <v>1.3355555555555556</v>
      </c>
      <c r="AB13" s="881" t="e">
        <f>+X13/P13</f>
        <v>#DIV/0!</v>
      </c>
    </row>
    <row r="14" spans="2:28" ht="15.75" thickTop="1" x14ac:dyDescent="0.25"/>
    <row r="15" spans="2:28" x14ac:dyDescent="0.25">
      <c r="E15" s="283" t="s">
        <v>129</v>
      </c>
      <c r="G15" s="401"/>
      <c r="H15" s="228"/>
      <c r="I15" s="388">
        <v>0</v>
      </c>
      <c r="J15" s="389">
        <f>1/6</f>
        <v>0.16666666666666666</v>
      </c>
      <c r="K15" s="231">
        <f>2/6</f>
        <v>0.33333333333333331</v>
      </c>
      <c r="L15" s="285"/>
      <c r="M15" s="286"/>
      <c r="N15" s="231"/>
    </row>
    <row r="16" spans="2:28" ht="15" customHeight="1" x14ac:dyDescent="0.25">
      <c r="E16" s="284" t="s">
        <v>130</v>
      </c>
      <c r="G16" s="229"/>
      <c r="H16" s="229"/>
      <c r="I16" s="387">
        <f>5/6</f>
        <v>0.83333333333333337</v>
      </c>
      <c r="J16" s="387">
        <f>5/6</f>
        <v>0.83333333333333337</v>
      </c>
      <c r="K16" s="231">
        <f>4/6</f>
        <v>0.66666666666666663</v>
      </c>
      <c r="L16" s="285"/>
      <c r="M16" s="286"/>
      <c r="N16" s="231"/>
    </row>
    <row r="17" spans="5:14" x14ac:dyDescent="0.25">
      <c r="E17" s="391" t="s">
        <v>131</v>
      </c>
      <c r="G17" s="392"/>
      <c r="H17" s="392"/>
      <c r="I17" s="393">
        <f>1/6</f>
        <v>0.16666666666666666</v>
      </c>
      <c r="J17" s="393">
        <v>0</v>
      </c>
      <c r="K17" s="231">
        <v>0</v>
      </c>
      <c r="L17" s="285"/>
      <c r="M17" s="286"/>
      <c r="N17" s="231"/>
    </row>
    <row r="18" spans="5:14" x14ac:dyDescent="0.25">
      <c r="I18" s="386">
        <f>SUM(I15:I17)</f>
        <v>1</v>
      </c>
      <c r="J18" s="386">
        <f>SUM(J15:J17)</f>
        <v>1</v>
      </c>
      <c r="K18" s="231">
        <f>SUM(K15:K17)</f>
        <v>1</v>
      </c>
      <c r="L18" s="287"/>
      <c r="M18" s="288"/>
    </row>
    <row r="19" spans="5:14" ht="15" customHeight="1" x14ac:dyDescent="0.25">
      <c r="J19" s="233"/>
      <c r="K19" s="233"/>
      <c r="L19" s="289"/>
      <c r="M19" s="287"/>
    </row>
  </sheetData>
  <mergeCells count="28">
    <mergeCell ref="AA7:AA12"/>
    <mergeCell ref="AB7:AB12"/>
    <mergeCell ref="W7:W12"/>
    <mergeCell ref="X7:X12"/>
    <mergeCell ref="P7:P12"/>
    <mergeCell ref="Y7:Y12"/>
    <mergeCell ref="Z7:Z12"/>
    <mergeCell ref="R7:R12"/>
    <mergeCell ref="S7:S12"/>
    <mergeCell ref="T7:T12"/>
    <mergeCell ref="U7:U12"/>
    <mergeCell ref="V7:V12"/>
    <mergeCell ref="B7:B12"/>
    <mergeCell ref="C7:C12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M7:M12"/>
    <mergeCell ref="N7:N12"/>
    <mergeCell ref="O7:O12"/>
    <mergeCell ref="Q7:Q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2:AB26"/>
  <sheetViews>
    <sheetView topLeftCell="A16" zoomScale="80" zoomScaleNormal="80" workbookViewId="0">
      <selection activeCell="K22" sqref="K22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6.85546875" style="139" customWidth="1"/>
    <col min="4" max="4" width="36" customWidth="1"/>
    <col min="5" max="5" width="18.140625" hidden="1" customWidth="1"/>
    <col min="6" max="6" width="15.28515625" hidden="1" customWidth="1"/>
    <col min="7" max="7" width="15.42578125" customWidth="1"/>
    <col min="8" max="8" width="14.42578125" hidden="1" customWidth="1"/>
    <col min="9" max="9" width="17.140625" hidden="1" customWidth="1"/>
    <col min="10" max="10" width="1.42578125" hidden="1" customWidth="1"/>
    <col min="11" max="11" width="16.85546875" customWidth="1"/>
    <col min="12" max="12" width="7.5703125" hidden="1" customWidth="1"/>
    <col min="13" max="13" width="29.140625" hidden="1" customWidth="1"/>
    <col min="14" max="14" width="5.140625" hidden="1" customWidth="1"/>
    <col min="15" max="15" width="22.42578125" customWidth="1"/>
    <col min="16" max="16" width="14.28515625" hidden="1" customWidth="1"/>
    <col min="17" max="17" width="23.7109375" hidden="1" customWidth="1"/>
    <col min="18" max="18" width="23.85546875" hidden="1" customWidth="1"/>
    <col min="19" max="19" width="23.5703125" customWidth="1"/>
    <col min="20" max="20" width="12.28515625" hidden="1" customWidth="1"/>
    <col min="21" max="21" width="23.42578125" hidden="1" customWidth="1"/>
    <col min="22" max="22" width="19.85546875" hidden="1" customWidth="1"/>
    <col min="23" max="23" width="21.28515625" customWidth="1"/>
    <col min="24" max="24" width="12" hidden="1" customWidth="1"/>
    <col min="25" max="25" width="25.140625" hidden="1" customWidth="1"/>
    <col min="26" max="26" width="20.85546875" hidden="1" customWidth="1"/>
    <col min="27" max="27" width="21.5703125" customWidth="1"/>
    <col min="28" max="28" width="9" hidden="1" customWidth="1"/>
  </cols>
  <sheetData>
    <row r="2" spans="2:28" ht="15.75" thickBot="1" x14ac:dyDescent="0.3"/>
    <row r="3" spans="2:28" ht="30" thickTop="1" thickBot="1" x14ac:dyDescent="0.5">
      <c r="B3" s="1115" t="s">
        <v>326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1116"/>
      <c r="Y3" s="1116"/>
      <c r="Z3" s="1116"/>
      <c r="AA3" s="1116"/>
      <c r="AB3" s="1117"/>
    </row>
    <row r="4" spans="2:28" ht="16.5" thickTop="1" thickBot="1" x14ac:dyDescent="0.3"/>
    <row r="5" spans="2:28" ht="73.5" customHeight="1" thickTop="1" x14ac:dyDescent="0.25">
      <c r="B5" s="1094" t="s">
        <v>0</v>
      </c>
      <c r="C5" s="1096" t="s">
        <v>1</v>
      </c>
      <c r="D5" s="1118" t="s">
        <v>2</v>
      </c>
      <c r="E5" s="1113" t="s">
        <v>3</v>
      </c>
      <c r="F5" s="1064"/>
      <c r="G5" s="1064"/>
      <c r="H5" s="1120"/>
      <c r="I5" s="1113" t="s">
        <v>4</v>
      </c>
      <c r="J5" s="1056"/>
      <c r="K5" s="1056"/>
      <c r="L5" s="1114"/>
      <c r="M5" s="1113" t="s">
        <v>16</v>
      </c>
      <c r="N5" s="1056"/>
      <c r="O5" s="1056"/>
      <c r="P5" s="1114"/>
      <c r="Q5" s="1113" t="s">
        <v>5</v>
      </c>
      <c r="R5" s="1056"/>
      <c r="S5" s="1056"/>
      <c r="T5" s="1114"/>
      <c r="U5" s="1102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s="277" customFormat="1" ht="21.75" customHeight="1" thickBot="1" x14ac:dyDescent="0.3">
      <c r="B6" s="1095"/>
      <c r="C6" s="1097"/>
      <c r="D6" s="1119"/>
      <c r="E6" s="641" t="s">
        <v>8</v>
      </c>
      <c r="F6" s="633" t="s">
        <v>9</v>
      </c>
      <c r="G6" s="633" t="s">
        <v>10</v>
      </c>
      <c r="H6" s="642" t="s">
        <v>11</v>
      </c>
      <c r="I6" s="641" t="s">
        <v>8</v>
      </c>
      <c r="J6" s="633" t="s">
        <v>9</v>
      </c>
      <c r="K6" s="633" t="s">
        <v>10</v>
      </c>
      <c r="L6" s="642" t="s">
        <v>11</v>
      </c>
      <c r="M6" s="641" t="s">
        <v>8</v>
      </c>
      <c r="N6" s="633" t="s">
        <v>9</v>
      </c>
      <c r="O6" s="633" t="s">
        <v>10</v>
      </c>
      <c r="P6" s="642" t="s">
        <v>11</v>
      </c>
      <c r="Q6" s="641" t="s">
        <v>8</v>
      </c>
      <c r="R6" s="633" t="s">
        <v>9</v>
      </c>
      <c r="S6" s="633" t="s">
        <v>10</v>
      </c>
      <c r="T6" s="642" t="s">
        <v>11</v>
      </c>
      <c r="U6" s="636" t="s">
        <v>8</v>
      </c>
      <c r="V6" s="633" t="s">
        <v>9</v>
      </c>
      <c r="W6" s="633" t="s">
        <v>10</v>
      </c>
      <c r="X6" s="633" t="s">
        <v>11</v>
      </c>
      <c r="Y6" s="635" t="s">
        <v>8</v>
      </c>
      <c r="Z6" s="636" t="s">
        <v>9</v>
      </c>
      <c r="AA6" s="633" t="s">
        <v>10</v>
      </c>
      <c r="AB6" s="635" t="s">
        <v>11</v>
      </c>
    </row>
    <row r="7" spans="2:28" s="308" customFormat="1" ht="49.5" customHeight="1" thickTop="1" x14ac:dyDescent="0.25">
      <c r="B7" s="1139" t="s">
        <v>157</v>
      </c>
      <c r="C7" s="1142">
        <v>0.2</v>
      </c>
      <c r="D7" s="418" t="s">
        <v>158</v>
      </c>
      <c r="E7" s="419">
        <v>0.1</v>
      </c>
      <c r="F7" s="420">
        <v>0.4</v>
      </c>
      <c r="G7" s="694">
        <v>0.8</v>
      </c>
      <c r="H7" s="695">
        <v>1</v>
      </c>
      <c r="I7" s="696">
        <v>0.1</v>
      </c>
      <c r="J7" s="697">
        <v>0.45</v>
      </c>
      <c r="K7" s="698">
        <v>0.76</v>
      </c>
      <c r="L7" s="699"/>
      <c r="M7" s="1157">
        <f>+AVERAGE(E7:E9)*$C$7</f>
        <v>2.6666666666666668E-2</v>
      </c>
      <c r="N7" s="1158">
        <f>+AVERAGE(F7:F7)*$C$7</f>
        <v>8.0000000000000016E-2</v>
      </c>
      <c r="O7" s="1158">
        <f>+AVERAGE(G7:G7)*$C$7</f>
        <v>0.16000000000000003</v>
      </c>
      <c r="P7" s="1158">
        <f>+AVERAGE(H7:H7)*$C$7</f>
        <v>0.2</v>
      </c>
      <c r="Q7" s="1145">
        <f>+AVERAGE(I7:I9)</f>
        <v>0.13333333333333333</v>
      </c>
      <c r="R7" s="1145">
        <f>+AVERAGE(J7:J9)</f>
        <v>0.5</v>
      </c>
      <c r="S7" s="1145">
        <f>+AVERAGE(K7:K9)</f>
        <v>0.77</v>
      </c>
      <c r="T7" s="1145" t="e">
        <f>+AVERAGE(L7:L9)</f>
        <v>#DIV/0!</v>
      </c>
      <c r="U7" s="1129">
        <f t="shared" ref="U7:X8" si="0">+Q7*$C$7</f>
        <v>2.6666666666666668E-2</v>
      </c>
      <c r="V7" s="1129">
        <f t="shared" si="0"/>
        <v>0.1</v>
      </c>
      <c r="W7" s="1129">
        <f t="shared" si="0"/>
        <v>0.15400000000000003</v>
      </c>
      <c r="X7" s="1129" t="e">
        <f t="shared" si="0"/>
        <v>#DIV/0!</v>
      </c>
      <c r="Y7" s="1131">
        <f t="shared" ref="Y7:AB10" si="1">+U7/M7</f>
        <v>1</v>
      </c>
      <c r="Z7" s="1133">
        <f t="shared" si="1"/>
        <v>1.2499999999999998</v>
      </c>
      <c r="AA7" s="1135">
        <f t="shared" si="1"/>
        <v>0.96250000000000002</v>
      </c>
      <c r="AB7" s="1149" t="e">
        <f t="shared" si="1"/>
        <v>#DIV/0!</v>
      </c>
    </row>
    <row r="8" spans="2:28" s="225" customFormat="1" ht="72" customHeight="1" x14ac:dyDescent="0.25">
      <c r="B8" s="1140"/>
      <c r="C8" s="1143"/>
      <c r="D8" s="309" t="s">
        <v>159</v>
      </c>
      <c r="E8" s="311">
        <v>0.1</v>
      </c>
      <c r="F8" s="312">
        <v>0.4</v>
      </c>
      <c r="G8" s="700">
        <v>0.7</v>
      </c>
      <c r="H8" s="701">
        <v>1</v>
      </c>
      <c r="I8" s="702">
        <v>0.1</v>
      </c>
      <c r="J8" s="703">
        <v>0.45</v>
      </c>
      <c r="K8" s="703">
        <v>0.7</v>
      </c>
      <c r="L8" s="704"/>
      <c r="M8" s="1155"/>
      <c r="N8" s="1159"/>
      <c r="O8" s="1159"/>
      <c r="P8" s="1159"/>
      <c r="Q8" s="1146"/>
      <c r="R8" s="1146"/>
      <c r="S8" s="1146"/>
      <c r="T8" s="1146"/>
      <c r="U8" s="1130">
        <f t="shared" si="0"/>
        <v>0</v>
      </c>
      <c r="V8" s="1130">
        <f t="shared" si="0"/>
        <v>0</v>
      </c>
      <c r="W8" s="1130">
        <f t="shared" si="0"/>
        <v>0</v>
      </c>
      <c r="X8" s="1130">
        <f t="shared" si="0"/>
        <v>0</v>
      </c>
      <c r="Y8" s="1132" t="e">
        <f t="shared" si="1"/>
        <v>#DIV/0!</v>
      </c>
      <c r="Z8" s="1134" t="e">
        <f t="shared" si="1"/>
        <v>#DIV/0!</v>
      </c>
      <c r="AA8" s="1136" t="e">
        <f t="shared" si="1"/>
        <v>#DIV/0!</v>
      </c>
      <c r="AB8" s="1150" t="e">
        <f t="shared" si="1"/>
        <v>#DIV/0!</v>
      </c>
    </row>
    <row r="9" spans="2:28" s="225" customFormat="1" ht="66.75" customHeight="1" thickBot="1" x14ac:dyDescent="0.3">
      <c r="B9" s="1141"/>
      <c r="C9" s="1144"/>
      <c r="D9" s="317" t="s">
        <v>160</v>
      </c>
      <c r="E9" s="315">
        <v>0.2</v>
      </c>
      <c r="F9" s="316">
        <v>0.5</v>
      </c>
      <c r="G9" s="705">
        <v>0.75</v>
      </c>
      <c r="H9" s="706">
        <v>1</v>
      </c>
      <c r="I9" s="707">
        <v>0.2</v>
      </c>
      <c r="J9" s="708">
        <v>0.6</v>
      </c>
      <c r="K9" s="708">
        <v>0.85</v>
      </c>
      <c r="L9" s="709"/>
      <c r="M9" s="1156"/>
      <c r="N9" s="1160"/>
      <c r="O9" s="1160"/>
      <c r="P9" s="1160"/>
      <c r="Q9" s="1147"/>
      <c r="R9" s="1147"/>
      <c r="S9" s="1147"/>
      <c r="T9" s="1147"/>
      <c r="U9" s="1122" t="e">
        <f>+Q9*#REF!</f>
        <v>#REF!</v>
      </c>
      <c r="V9" s="1122" t="e">
        <f>+R9*#REF!</f>
        <v>#REF!</v>
      </c>
      <c r="W9" s="1122" t="e">
        <f>+S9*#REF!</f>
        <v>#REF!</v>
      </c>
      <c r="X9" s="1122" t="e">
        <f>+T9*#REF!</f>
        <v>#REF!</v>
      </c>
      <c r="Y9" s="1124" t="e">
        <f t="shared" si="1"/>
        <v>#REF!</v>
      </c>
      <c r="Z9" s="1126" t="e">
        <f t="shared" si="1"/>
        <v>#REF!</v>
      </c>
      <c r="AA9" s="1128" t="e">
        <f t="shared" si="1"/>
        <v>#REF!</v>
      </c>
      <c r="AB9" s="1138" t="e">
        <f t="shared" si="1"/>
        <v>#REF!</v>
      </c>
    </row>
    <row r="10" spans="2:28" s="225" customFormat="1" ht="55.5" customHeight="1" x14ac:dyDescent="0.25">
      <c r="B10" s="1151" t="s">
        <v>161</v>
      </c>
      <c r="C10" s="1079">
        <v>0.1</v>
      </c>
      <c r="D10" s="318" t="s">
        <v>162</v>
      </c>
      <c r="E10" s="319">
        <v>0.1</v>
      </c>
      <c r="F10" s="320">
        <v>0.4</v>
      </c>
      <c r="G10" s="710">
        <v>0.7</v>
      </c>
      <c r="H10" s="711">
        <v>1</v>
      </c>
      <c r="I10" s="712">
        <v>0.1</v>
      </c>
      <c r="J10" s="713">
        <v>0.5</v>
      </c>
      <c r="K10" s="713">
        <v>0.9</v>
      </c>
      <c r="L10" s="714"/>
      <c r="M10" s="1154">
        <f>+AVERAGE(E10:E11)*$C$10</f>
        <v>1.0000000000000002E-2</v>
      </c>
      <c r="N10" s="1161">
        <f>+AVERAGE(F10:F10)*$C$10</f>
        <v>4.0000000000000008E-2</v>
      </c>
      <c r="O10" s="1161">
        <f>+AVERAGE(G10:G10)*$C$10</f>
        <v>6.9999999999999993E-2</v>
      </c>
      <c r="P10" s="1161">
        <f>+AVERAGE(H10:H10)*$C$10</f>
        <v>0.1</v>
      </c>
      <c r="Q10" s="1148">
        <f>+AVERAGE(I10:I11)</f>
        <v>0.1</v>
      </c>
      <c r="R10" s="1148">
        <f>+AVERAGE(J10:J11)</f>
        <v>0.45</v>
      </c>
      <c r="S10" s="1148">
        <f>+AVERAGE(K10:K11)</f>
        <v>0.9</v>
      </c>
      <c r="T10" s="1148" t="e">
        <f>+AVERAGE(L10:L11)</f>
        <v>#DIV/0!</v>
      </c>
      <c r="U10" s="1121">
        <f>+Q10*$C$10</f>
        <v>1.0000000000000002E-2</v>
      </c>
      <c r="V10" s="1121">
        <f>+R10*$C$10</f>
        <v>4.5000000000000005E-2</v>
      </c>
      <c r="W10" s="1121">
        <f>+S10*$C$10</f>
        <v>9.0000000000000011E-2</v>
      </c>
      <c r="X10" s="1121" t="e">
        <f>+T10*$C$10</f>
        <v>#DIV/0!</v>
      </c>
      <c r="Y10" s="1123">
        <f t="shared" si="1"/>
        <v>1</v>
      </c>
      <c r="Z10" s="1125">
        <f t="shared" si="1"/>
        <v>1.125</v>
      </c>
      <c r="AA10" s="1127">
        <f t="shared" si="1"/>
        <v>1.285714285714286</v>
      </c>
      <c r="AB10" s="1137" t="e">
        <f t="shared" si="1"/>
        <v>#DIV/0!</v>
      </c>
    </row>
    <row r="11" spans="2:28" s="225" customFormat="1" ht="72" customHeight="1" thickBot="1" x14ac:dyDescent="0.3">
      <c r="B11" s="1152"/>
      <c r="C11" s="1075"/>
      <c r="D11" s="321" t="s">
        <v>163</v>
      </c>
      <c r="E11" s="322">
        <v>0.1</v>
      </c>
      <c r="F11" s="403">
        <v>0.4</v>
      </c>
      <c r="G11" s="715">
        <v>0.7</v>
      </c>
      <c r="H11" s="716">
        <v>1</v>
      </c>
      <c r="I11" s="717">
        <v>0.1</v>
      </c>
      <c r="J11" s="718">
        <v>0.4</v>
      </c>
      <c r="K11" s="718">
        <v>0.9</v>
      </c>
      <c r="L11" s="719"/>
      <c r="M11" s="1156"/>
      <c r="N11" s="1160"/>
      <c r="O11" s="1160"/>
      <c r="P11" s="1160"/>
      <c r="Q11" s="1147"/>
      <c r="R11" s="1147"/>
      <c r="S11" s="1147"/>
      <c r="T11" s="1147"/>
      <c r="U11" s="1122">
        <f>+Q11*$C$7</f>
        <v>0</v>
      </c>
      <c r="V11" s="1122">
        <f>+R11*$C$7</f>
        <v>0</v>
      </c>
      <c r="W11" s="1122">
        <f>+S11*$C$7</f>
        <v>0</v>
      </c>
      <c r="X11" s="1122">
        <f>+T11*$C$7</f>
        <v>0</v>
      </c>
      <c r="Y11" s="1124" t="e">
        <f t="shared" ref="Y11:Y17" si="2">+U11/M11</f>
        <v>#DIV/0!</v>
      </c>
      <c r="Z11" s="1126" t="e">
        <f t="shared" ref="Z11:Z17" si="3">+V11/N11</f>
        <v>#DIV/0!</v>
      </c>
      <c r="AA11" s="1128" t="e">
        <f t="shared" ref="AA11:AA17" si="4">+W11/O11</f>
        <v>#DIV/0!</v>
      </c>
      <c r="AB11" s="1138" t="e">
        <f t="shared" ref="AB11:AB17" si="5">+X11/P11</f>
        <v>#DIV/0!</v>
      </c>
    </row>
    <row r="12" spans="2:28" s="225" customFormat="1" ht="72" customHeight="1" thickBot="1" x14ac:dyDescent="0.3">
      <c r="B12" s="417" t="s">
        <v>164</v>
      </c>
      <c r="C12" s="331">
        <v>0.25</v>
      </c>
      <c r="D12" s="332" t="s">
        <v>165</v>
      </c>
      <c r="E12" s="323">
        <v>0.25</v>
      </c>
      <c r="F12" s="324">
        <v>0.5</v>
      </c>
      <c r="G12" s="720">
        <v>0.75</v>
      </c>
      <c r="H12" s="721">
        <v>1</v>
      </c>
      <c r="I12" s="722">
        <v>0.25</v>
      </c>
      <c r="J12" s="723">
        <v>0.5</v>
      </c>
      <c r="K12" s="723">
        <v>0.75</v>
      </c>
      <c r="L12" s="724"/>
      <c r="M12" s="725">
        <f>+AVERAGE(E12:E12)*$C$12</f>
        <v>6.25E-2</v>
      </c>
      <c r="N12" s="726">
        <f>+AVERAGE(F12:F12)*$C$12</f>
        <v>0.125</v>
      </c>
      <c r="O12" s="726">
        <f>+AVERAGE(G12:G12)*$C$12</f>
        <v>0.1875</v>
      </c>
      <c r="P12" s="726">
        <f>+AVERAGE(H12:H12)*$C$12</f>
        <v>0.25</v>
      </c>
      <c r="Q12" s="726">
        <f>+AVERAGE(I12:I12)</f>
        <v>0.25</v>
      </c>
      <c r="R12" s="727">
        <f>+AVERAGE(J12:J12)</f>
        <v>0.5</v>
      </c>
      <c r="S12" s="727">
        <f>+AVERAGE(K12:K12)</f>
        <v>0.75</v>
      </c>
      <c r="T12" s="727" t="e">
        <f>+AVERAGE(L12:L12)</f>
        <v>#DIV/0!</v>
      </c>
      <c r="U12" s="726">
        <f>+Q12*$C$12</f>
        <v>6.25E-2</v>
      </c>
      <c r="V12" s="726">
        <f>+R12*$C$12</f>
        <v>0.125</v>
      </c>
      <c r="W12" s="726">
        <f>+S12*$C$12</f>
        <v>0.1875</v>
      </c>
      <c r="X12" s="726" t="e">
        <f>+T12*$C$12</f>
        <v>#DIV/0!</v>
      </c>
      <c r="Y12" s="728">
        <f t="shared" si="2"/>
        <v>1</v>
      </c>
      <c r="Z12" s="729">
        <f t="shared" si="3"/>
        <v>1</v>
      </c>
      <c r="AA12" s="875">
        <f t="shared" si="4"/>
        <v>1</v>
      </c>
      <c r="AB12" s="873" t="e">
        <f t="shared" si="5"/>
        <v>#DIV/0!</v>
      </c>
    </row>
    <row r="13" spans="2:28" s="225" customFormat="1" ht="48.75" customHeight="1" x14ac:dyDescent="0.25">
      <c r="B13" s="1151" t="s">
        <v>166</v>
      </c>
      <c r="C13" s="1079">
        <v>0.2</v>
      </c>
      <c r="D13" s="318" t="s">
        <v>167</v>
      </c>
      <c r="E13" s="319">
        <v>0.1</v>
      </c>
      <c r="F13" s="320">
        <v>0.3</v>
      </c>
      <c r="G13" s="710">
        <v>0.6</v>
      </c>
      <c r="H13" s="711">
        <v>1</v>
      </c>
      <c r="I13" s="712">
        <v>0.1</v>
      </c>
      <c r="J13" s="713">
        <v>0.4</v>
      </c>
      <c r="K13" s="713">
        <v>0.6</v>
      </c>
      <c r="L13" s="714"/>
      <c r="M13" s="1154">
        <f>+AVERAGE(E13:E16)*$C$13</f>
        <v>4.2500000000000003E-2</v>
      </c>
      <c r="N13" s="1161">
        <f>+AVERAGE(F13:F13)*$C$13</f>
        <v>0.06</v>
      </c>
      <c r="O13" s="1161">
        <f>+AVERAGE(G13:G13)*$C$13</f>
        <v>0.12</v>
      </c>
      <c r="P13" s="1161">
        <f>+AVERAGE(H13:H13)*$C$13</f>
        <v>0.2</v>
      </c>
      <c r="Q13" s="1148">
        <f>+AVERAGE(I13:I16)</f>
        <v>0.21249999999999999</v>
      </c>
      <c r="R13" s="1148">
        <f>+AVERAGE(J13:J16)</f>
        <v>0.47499999999999998</v>
      </c>
      <c r="S13" s="1148">
        <f>+AVERAGE(K13:K16)</f>
        <v>0.71250000000000002</v>
      </c>
      <c r="T13" s="1148" t="e">
        <f>+AVERAGE(L13:L16)</f>
        <v>#DIV/0!</v>
      </c>
      <c r="U13" s="1121">
        <f>+Q13*$C$13</f>
        <v>4.2500000000000003E-2</v>
      </c>
      <c r="V13" s="1121">
        <f>+R13*$C$13</f>
        <v>9.5000000000000001E-2</v>
      </c>
      <c r="W13" s="1121">
        <f>+S13*$C$13</f>
        <v>0.14250000000000002</v>
      </c>
      <c r="X13" s="1121" t="e">
        <f>+T13*$C$13</f>
        <v>#DIV/0!</v>
      </c>
      <c r="Y13" s="1123">
        <f t="shared" si="2"/>
        <v>1</v>
      </c>
      <c r="Z13" s="1125">
        <f t="shared" si="3"/>
        <v>1.5833333333333335</v>
      </c>
      <c r="AA13" s="1127">
        <f t="shared" si="4"/>
        <v>1.1875000000000002</v>
      </c>
      <c r="AB13" s="1137" t="e">
        <f t="shared" si="5"/>
        <v>#DIV/0!</v>
      </c>
    </row>
    <row r="14" spans="2:28" s="225" customFormat="1" ht="98.25" customHeight="1" x14ac:dyDescent="0.25">
      <c r="B14" s="1153"/>
      <c r="C14" s="1074"/>
      <c r="D14" s="310" t="s">
        <v>168</v>
      </c>
      <c r="E14" s="313">
        <v>0.25</v>
      </c>
      <c r="F14" s="314">
        <v>0.5</v>
      </c>
      <c r="G14" s="730">
        <v>0.75</v>
      </c>
      <c r="H14" s="731">
        <v>1</v>
      </c>
      <c r="I14" s="732">
        <v>0.25</v>
      </c>
      <c r="J14" s="733">
        <v>0.5</v>
      </c>
      <c r="K14" s="733">
        <v>0.75</v>
      </c>
      <c r="L14" s="734"/>
      <c r="M14" s="1155"/>
      <c r="N14" s="1159"/>
      <c r="O14" s="1159"/>
      <c r="P14" s="1159"/>
      <c r="Q14" s="1146"/>
      <c r="R14" s="1146"/>
      <c r="S14" s="1146"/>
      <c r="T14" s="1146"/>
      <c r="U14" s="1130"/>
      <c r="V14" s="1130"/>
      <c r="W14" s="1130"/>
      <c r="X14" s="1130"/>
      <c r="Y14" s="1132"/>
      <c r="Z14" s="1134"/>
      <c r="AA14" s="1136"/>
      <c r="AB14" s="1150"/>
    </row>
    <row r="15" spans="2:28" s="225" customFormat="1" ht="72" customHeight="1" x14ac:dyDescent="0.25">
      <c r="B15" s="1153"/>
      <c r="C15" s="1074"/>
      <c r="D15" s="310" t="s">
        <v>169</v>
      </c>
      <c r="E15" s="313">
        <v>0.25</v>
      </c>
      <c r="F15" s="314">
        <v>0.5</v>
      </c>
      <c r="G15" s="730">
        <v>0.75</v>
      </c>
      <c r="H15" s="731">
        <v>1</v>
      </c>
      <c r="I15" s="732">
        <v>0.25</v>
      </c>
      <c r="J15" s="733">
        <v>0.5</v>
      </c>
      <c r="K15" s="733">
        <v>0.75</v>
      </c>
      <c r="L15" s="734"/>
      <c r="M15" s="1155"/>
      <c r="N15" s="1159"/>
      <c r="O15" s="1159"/>
      <c r="P15" s="1159"/>
      <c r="Q15" s="1146"/>
      <c r="R15" s="1146"/>
      <c r="S15" s="1146"/>
      <c r="T15" s="1146"/>
      <c r="U15" s="1130"/>
      <c r="V15" s="1130"/>
      <c r="W15" s="1130"/>
      <c r="X15" s="1130"/>
      <c r="Y15" s="1132"/>
      <c r="Z15" s="1134"/>
      <c r="AA15" s="1136"/>
      <c r="AB15" s="1150"/>
    </row>
    <row r="16" spans="2:28" s="225" customFormat="1" ht="72" customHeight="1" thickBot="1" x14ac:dyDescent="0.3">
      <c r="B16" s="1152"/>
      <c r="C16" s="1075"/>
      <c r="D16" s="321" t="s">
        <v>170</v>
      </c>
      <c r="E16" s="322">
        <v>0.25</v>
      </c>
      <c r="F16" s="403">
        <v>0.5</v>
      </c>
      <c r="G16" s="715">
        <v>0.75</v>
      </c>
      <c r="H16" s="716">
        <v>1</v>
      </c>
      <c r="I16" s="717">
        <v>0.25</v>
      </c>
      <c r="J16" s="718">
        <v>0.5</v>
      </c>
      <c r="K16" s="718">
        <v>0.75</v>
      </c>
      <c r="L16" s="719"/>
      <c r="M16" s="1156"/>
      <c r="N16" s="1160"/>
      <c r="O16" s="1160"/>
      <c r="P16" s="1160"/>
      <c r="Q16" s="1147"/>
      <c r="R16" s="1147"/>
      <c r="S16" s="1147"/>
      <c r="T16" s="1147"/>
      <c r="U16" s="1122"/>
      <c r="V16" s="1122"/>
      <c r="W16" s="1122"/>
      <c r="X16" s="1122"/>
      <c r="Y16" s="1124"/>
      <c r="Z16" s="1126"/>
      <c r="AA16" s="1128"/>
      <c r="AB16" s="1138"/>
    </row>
    <row r="17" spans="2:28" s="225" customFormat="1" ht="72" customHeight="1" x14ac:dyDescent="0.25">
      <c r="B17" s="1151" t="s">
        <v>171</v>
      </c>
      <c r="C17" s="1079">
        <v>0.25</v>
      </c>
      <c r="D17" s="384" t="s">
        <v>280</v>
      </c>
      <c r="E17" s="319">
        <v>0.1</v>
      </c>
      <c r="F17" s="320">
        <v>0.3</v>
      </c>
      <c r="G17" s="710">
        <v>0.6</v>
      </c>
      <c r="H17" s="711">
        <v>1</v>
      </c>
      <c r="I17" s="712">
        <v>0.1</v>
      </c>
      <c r="J17" s="713">
        <v>0.3</v>
      </c>
      <c r="K17" s="713">
        <v>0.6</v>
      </c>
      <c r="L17" s="714"/>
      <c r="M17" s="1154">
        <f>+AVERAGE(E17:E18)*$C$17</f>
        <v>2.5000000000000001E-2</v>
      </c>
      <c r="N17" s="1161">
        <f>+AVERAGE(F17:F17)*$C$17</f>
        <v>7.4999999999999997E-2</v>
      </c>
      <c r="O17" s="1161">
        <f>+AVERAGE(G17:G17)*$C$17</f>
        <v>0.15</v>
      </c>
      <c r="P17" s="1161">
        <f>+AVERAGE(H17:H17)*$C$17</f>
        <v>0.25</v>
      </c>
      <c r="Q17" s="1148">
        <f>+AVERAGE(I17:I18)</f>
        <v>0.1</v>
      </c>
      <c r="R17" s="1148">
        <f>+AVERAGE(J17:J18)</f>
        <v>0.3</v>
      </c>
      <c r="S17" s="1148">
        <f>+AVERAGE(K17:K18)</f>
        <v>0.6</v>
      </c>
      <c r="T17" s="1148" t="e">
        <f>+AVERAGE(L17:L18)</f>
        <v>#DIV/0!</v>
      </c>
      <c r="U17" s="1121">
        <f>+Q17*$C$17</f>
        <v>2.5000000000000001E-2</v>
      </c>
      <c r="V17" s="1121">
        <f>+R17*$C$17</f>
        <v>7.4999999999999997E-2</v>
      </c>
      <c r="W17" s="1121">
        <f>+S17*$C$17</f>
        <v>0.15</v>
      </c>
      <c r="X17" s="1121" t="e">
        <f>+T17*$C$17</f>
        <v>#DIV/0!</v>
      </c>
      <c r="Y17" s="1123">
        <f t="shared" si="2"/>
        <v>1</v>
      </c>
      <c r="Z17" s="1125">
        <f t="shared" si="3"/>
        <v>1</v>
      </c>
      <c r="AA17" s="1127">
        <f t="shared" si="4"/>
        <v>1</v>
      </c>
      <c r="AB17" s="1137" t="e">
        <f t="shared" si="5"/>
        <v>#DIV/0!</v>
      </c>
    </row>
    <row r="18" spans="2:28" s="225" customFormat="1" ht="72" customHeight="1" thickBot="1" x14ac:dyDescent="0.3">
      <c r="B18" s="1152"/>
      <c r="C18" s="1075"/>
      <c r="D18" s="385" t="s">
        <v>281</v>
      </c>
      <c r="E18" s="322">
        <v>0.1</v>
      </c>
      <c r="F18" s="403">
        <v>0.3</v>
      </c>
      <c r="G18" s="715">
        <v>0.6</v>
      </c>
      <c r="H18" s="716">
        <v>1</v>
      </c>
      <c r="I18" s="717">
        <v>0.1</v>
      </c>
      <c r="J18" s="718">
        <v>0.3</v>
      </c>
      <c r="K18" s="718">
        <v>0.6</v>
      </c>
      <c r="L18" s="719"/>
      <c r="M18" s="1156"/>
      <c r="N18" s="1160"/>
      <c r="O18" s="1160"/>
      <c r="P18" s="1160"/>
      <c r="Q18" s="1147"/>
      <c r="R18" s="1147"/>
      <c r="S18" s="1147"/>
      <c r="T18" s="1147"/>
      <c r="U18" s="1122"/>
      <c r="V18" s="1122"/>
      <c r="W18" s="1122"/>
      <c r="X18" s="1122"/>
      <c r="Y18" s="1124"/>
      <c r="Z18" s="1126"/>
      <c r="AA18" s="1128"/>
      <c r="AB18" s="1138"/>
    </row>
    <row r="19" spans="2:28" s="591" customFormat="1" ht="30" customHeight="1" thickBot="1" x14ac:dyDescent="0.3">
      <c r="B19" s="643" t="s">
        <v>12</v>
      </c>
      <c r="C19" s="644">
        <f>SUM(C7:C18)</f>
        <v>1</v>
      </c>
      <c r="D19" s="645"/>
      <c r="E19" s="646"/>
      <c r="F19" s="647"/>
      <c r="G19" s="647"/>
      <c r="H19" s="648"/>
      <c r="I19" s="646"/>
      <c r="J19" s="647"/>
      <c r="K19" s="647"/>
      <c r="L19" s="648"/>
      <c r="M19" s="647">
        <f>SUM(M7:M18)</f>
        <v>0.16666666666666666</v>
      </c>
      <c r="N19" s="647">
        <f>SUM(N7:N18)</f>
        <v>0.38000000000000006</v>
      </c>
      <c r="O19" s="647">
        <f>SUM(O7:O18)</f>
        <v>0.68750000000000011</v>
      </c>
      <c r="P19" s="647">
        <f>SUM(P7:P18)</f>
        <v>1</v>
      </c>
      <c r="Q19" s="649"/>
      <c r="R19" s="650"/>
      <c r="S19" s="650"/>
      <c r="T19" s="651"/>
      <c r="U19" s="647">
        <f>+U7+U10+U12+U13+U17</f>
        <v>0.16666666666666666</v>
      </c>
      <c r="V19" s="647">
        <f>+V7+V10+V12+V13+V17</f>
        <v>0.44</v>
      </c>
      <c r="W19" s="647">
        <f>+W7+W10+W12+W13+W17</f>
        <v>0.72400000000000009</v>
      </c>
      <c r="X19" s="647" t="e">
        <f>+X7+X10+X12+X13+X17</f>
        <v>#DIV/0!</v>
      </c>
      <c r="Y19" s="652">
        <f>+U19/M19</f>
        <v>1</v>
      </c>
      <c r="Z19" s="653">
        <f>+V19/N19</f>
        <v>1.1578947368421051</v>
      </c>
      <c r="AA19" s="653">
        <f>+W19/O19</f>
        <v>1.0530909090909091</v>
      </c>
      <c r="AB19" s="874" t="e">
        <f>+X19/P19</f>
        <v>#DIV/0!</v>
      </c>
    </row>
    <row r="20" spans="2:28" ht="15.75" thickTop="1" x14ac:dyDescent="0.25"/>
    <row r="21" spans="2:28" hidden="1" x14ac:dyDescent="0.25">
      <c r="E21" s="390" t="s">
        <v>129</v>
      </c>
      <c r="F21" s="71"/>
      <c r="G21" s="71"/>
      <c r="H21" s="71"/>
      <c r="J21" s="389">
        <v>0.33333333333333331</v>
      </c>
      <c r="K21" s="71"/>
      <c r="L21" s="291"/>
    </row>
    <row r="22" spans="2:28" x14ac:dyDescent="0.25">
      <c r="E22" s="284" t="s">
        <v>130</v>
      </c>
      <c r="F22" s="71"/>
      <c r="G22" s="71"/>
      <c r="H22" s="71"/>
      <c r="J22" s="387">
        <v>0.66</v>
      </c>
      <c r="K22" s="389">
        <f>3/12</f>
        <v>0.25</v>
      </c>
      <c r="L22" s="291"/>
    </row>
    <row r="23" spans="2:28" x14ac:dyDescent="0.25">
      <c r="E23" s="391" t="s">
        <v>131</v>
      </c>
      <c r="F23" s="71"/>
      <c r="G23" s="71"/>
      <c r="H23" s="71"/>
      <c r="J23" s="393"/>
      <c r="K23" s="387">
        <f>8/12</f>
        <v>0.66666666666666663</v>
      </c>
      <c r="L23" s="291"/>
    </row>
    <row r="24" spans="2:28" x14ac:dyDescent="0.25">
      <c r="E24" s="276" t="s">
        <v>12</v>
      </c>
      <c r="J24" s="386">
        <f>SUM(J21:J23)</f>
        <v>0.9933333333333334</v>
      </c>
      <c r="K24" s="393">
        <v>8.3333333333333329E-2</v>
      </c>
      <c r="L24" s="292"/>
    </row>
    <row r="25" spans="2:28" x14ac:dyDescent="0.25">
      <c r="K25" s="386">
        <f>SUM(K22:K24)</f>
        <v>1</v>
      </c>
    </row>
    <row r="26" spans="2:28" x14ac:dyDescent="0.25">
      <c r="K26" s="231"/>
    </row>
  </sheetData>
  <mergeCells count="82">
    <mergeCell ref="N13:N16"/>
    <mergeCell ref="O13:O16"/>
    <mergeCell ref="P13:P16"/>
    <mergeCell ref="M17:M18"/>
    <mergeCell ref="N17:N18"/>
    <mergeCell ref="O17:O18"/>
    <mergeCell ref="P17:P18"/>
    <mergeCell ref="M7:M9"/>
    <mergeCell ref="N7:N9"/>
    <mergeCell ref="O7:O9"/>
    <mergeCell ref="P7:P9"/>
    <mergeCell ref="M10:M11"/>
    <mergeCell ref="N10:N11"/>
    <mergeCell ref="O10:O11"/>
    <mergeCell ref="P10:P11"/>
    <mergeCell ref="AB13:AB16"/>
    <mergeCell ref="B17:B18"/>
    <mergeCell ref="C17:C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M13:M16"/>
    <mergeCell ref="AB7:AB9"/>
    <mergeCell ref="B10:B11"/>
    <mergeCell ref="C10:C11"/>
    <mergeCell ref="B13:B16"/>
    <mergeCell ref="C13:C16"/>
    <mergeCell ref="Q13:Q16"/>
    <mergeCell ref="R13:R16"/>
    <mergeCell ref="S13:S16"/>
    <mergeCell ref="T13:T16"/>
    <mergeCell ref="U13:U16"/>
    <mergeCell ref="V13:V16"/>
    <mergeCell ref="W13:W16"/>
    <mergeCell ref="X13:X16"/>
    <mergeCell ref="Y13:Y16"/>
    <mergeCell ref="Z13:Z16"/>
    <mergeCell ref="AA13:AA16"/>
    <mergeCell ref="AB10:AB11"/>
    <mergeCell ref="B7:B9"/>
    <mergeCell ref="C7:C9"/>
    <mergeCell ref="Q7:Q9"/>
    <mergeCell ref="R7:R9"/>
    <mergeCell ref="S7:S9"/>
    <mergeCell ref="T7:T9"/>
    <mergeCell ref="U7:U9"/>
    <mergeCell ref="V7:V9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W7:W9"/>
    <mergeCell ref="X7:X9"/>
    <mergeCell ref="Y7:Y9"/>
    <mergeCell ref="Z7:Z9"/>
    <mergeCell ref="AA7:AA9"/>
    <mergeCell ref="I5:L5"/>
    <mergeCell ref="B3:AB3"/>
    <mergeCell ref="B5:B6"/>
    <mergeCell ref="C5:C6"/>
    <mergeCell ref="D5:D6"/>
    <mergeCell ref="E5:H5"/>
    <mergeCell ref="M5:P5"/>
    <mergeCell ref="Q5:T5"/>
    <mergeCell ref="U5:X5"/>
    <mergeCell ref="Y5:AB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B19"/>
  <sheetViews>
    <sheetView zoomScale="80" zoomScaleNormal="80" workbookViewId="0">
      <selection activeCell="E10" sqref="E10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3.28515625" customWidth="1"/>
    <col min="4" max="4" width="36" customWidth="1"/>
    <col min="10" max="12" width="0" hidden="1" customWidth="1"/>
  </cols>
  <sheetData>
    <row r="3" spans="2:28" ht="28.5" x14ac:dyDescent="0.45">
      <c r="B3" s="1065" t="s">
        <v>33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</row>
    <row r="5" spans="2:28" ht="39.75" customHeight="1" x14ac:dyDescent="0.25">
      <c r="B5" s="1066" t="s">
        <v>0</v>
      </c>
      <c r="C5" s="1067" t="s">
        <v>1</v>
      </c>
      <c r="D5" s="1066" t="s">
        <v>2</v>
      </c>
      <c r="E5" s="1068" t="s">
        <v>3</v>
      </c>
      <c r="F5" s="1069"/>
      <c r="G5" s="1069"/>
      <c r="H5" s="1069"/>
      <c r="I5" s="1068" t="s">
        <v>4</v>
      </c>
      <c r="J5" s="1069"/>
      <c r="K5" s="1069"/>
      <c r="L5" s="1069"/>
      <c r="M5" s="1068" t="s">
        <v>16</v>
      </c>
      <c r="N5" s="1068"/>
      <c r="O5" s="1068"/>
      <c r="P5" s="1068"/>
      <c r="Q5" s="1068" t="s">
        <v>5</v>
      </c>
      <c r="R5" s="1068"/>
      <c r="S5" s="1068"/>
      <c r="T5" s="1068"/>
      <c r="U5" s="1068" t="s">
        <v>6</v>
      </c>
      <c r="V5" s="1068"/>
      <c r="W5" s="1068"/>
      <c r="X5" s="1068"/>
      <c r="Y5" s="1068" t="s">
        <v>7</v>
      </c>
      <c r="Z5" s="1068"/>
      <c r="AA5" s="1068"/>
      <c r="AB5" s="1068"/>
    </row>
    <row r="6" spans="2:28" x14ac:dyDescent="0.25">
      <c r="B6" s="1066"/>
      <c r="C6" s="1067"/>
      <c r="D6" s="1066"/>
      <c r="E6" s="266" t="s">
        <v>8</v>
      </c>
      <c r="F6" s="266" t="s">
        <v>9</v>
      </c>
      <c r="G6" s="266" t="s">
        <v>10</v>
      </c>
      <c r="H6" s="266" t="s">
        <v>11</v>
      </c>
      <c r="I6" s="266" t="s">
        <v>8</v>
      </c>
      <c r="J6" s="266" t="s">
        <v>9</v>
      </c>
      <c r="K6" s="266" t="s">
        <v>10</v>
      </c>
      <c r="L6" s="266" t="s">
        <v>11</v>
      </c>
      <c r="M6" s="266" t="s">
        <v>8</v>
      </c>
      <c r="N6" s="266" t="s">
        <v>9</v>
      </c>
      <c r="O6" s="266" t="s">
        <v>10</v>
      </c>
      <c r="P6" s="266" t="s">
        <v>11</v>
      </c>
      <c r="Q6" s="266" t="s">
        <v>8</v>
      </c>
      <c r="R6" s="266" t="s">
        <v>9</v>
      </c>
      <c r="S6" s="266" t="s">
        <v>10</v>
      </c>
      <c r="T6" s="266" t="s">
        <v>11</v>
      </c>
      <c r="U6" s="266" t="s">
        <v>8</v>
      </c>
      <c r="V6" s="266" t="s">
        <v>9</v>
      </c>
      <c r="W6" s="266" t="s">
        <v>10</v>
      </c>
      <c r="X6" s="266" t="s">
        <v>11</v>
      </c>
      <c r="Y6" s="266" t="s">
        <v>8</v>
      </c>
      <c r="Z6" s="266" t="s">
        <v>9</v>
      </c>
      <c r="AA6" s="266" t="s">
        <v>10</v>
      </c>
      <c r="AB6" s="266" t="s">
        <v>11</v>
      </c>
    </row>
    <row r="7" spans="2:28" s="71" customFormat="1" ht="69" customHeight="1" x14ac:dyDescent="0.25">
      <c r="B7" s="1162" t="s">
        <v>34</v>
      </c>
      <c r="C7" s="1165">
        <v>1</v>
      </c>
      <c r="D7" s="93" t="s">
        <v>35</v>
      </c>
      <c r="E7" s="58">
        <v>0.25</v>
      </c>
      <c r="F7" s="59">
        <v>0.5</v>
      </c>
      <c r="G7" s="59">
        <v>0.75</v>
      </c>
      <c r="H7" s="60">
        <v>1</v>
      </c>
      <c r="I7" s="236">
        <v>0.25</v>
      </c>
      <c r="J7" s="59"/>
      <c r="K7" s="59"/>
      <c r="L7" s="264"/>
      <c r="M7" s="1044">
        <f>+AVERAGE(E7:E12)*$C$7</f>
        <v>0.21000000000000002</v>
      </c>
      <c r="N7" s="1045">
        <f>+AVERAGE(F7:F12)*$C$7</f>
        <v>0.4916666666666667</v>
      </c>
      <c r="O7" s="1045">
        <f>+AVERAGE(G7:G12)*$C$7</f>
        <v>0.70833333333333337</v>
      </c>
      <c r="P7" s="1049">
        <f>+AVERAGE(H7:H12)*$C$7</f>
        <v>1</v>
      </c>
      <c r="Q7" s="1050">
        <f>+AVERAGE(I7:I12)</f>
        <v>0.2</v>
      </c>
      <c r="R7" s="1050" t="e">
        <f>+AVERAGE(J7:J12)</f>
        <v>#DIV/0!</v>
      </c>
      <c r="S7" s="1050" t="e">
        <f>+AVERAGE(K7:K12)</f>
        <v>#DIV/0!</v>
      </c>
      <c r="T7" s="1050" t="e">
        <f>+AVERAGE(L7:L12)</f>
        <v>#DIV/0!</v>
      </c>
      <c r="U7" s="1044">
        <f>+Q7*$C$7</f>
        <v>0.2</v>
      </c>
      <c r="V7" s="1045" t="e">
        <f>+R7*$C$7</f>
        <v>#DIV/0!</v>
      </c>
      <c r="W7" s="1045" t="e">
        <f>+S7*$C$7</f>
        <v>#DIV/0!</v>
      </c>
      <c r="X7" s="1049" t="e">
        <f>+T7*$C$7</f>
        <v>#DIV/0!</v>
      </c>
      <c r="Y7" s="1044">
        <f>+U7/M7</f>
        <v>0.95238095238095233</v>
      </c>
      <c r="Z7" s="1045" t="e">
        <f>+V7/N7</f>
        <v>#DIV/0!</v>
      </c>
      <c r="AA7" s="1045" t="e">
        <f>+W7/O7</f>
        <v>#DIV/0!</v>
      </c>
      <c r="AB7" s="1049" t="e">
        <f>+X7/P7</f>
        <v>#DIV/0!</v>
      </c>
    </row>
    <row r="8" spans="2:28" s="71" customFormat="1" ht="70.5" customHeight="1" x14ac:dyDescent="0.25">
      <c r="B8" s="1163"/>
      <c r="C8" s="1166"/>
      <c r="D8" s="87" t="s">
        <v>36</v>
      </c>
      <c r="E8" s="80">
        <v>0.25</v>
      </c>
      <c r="F8" s="72">
        <v>0.5</v>
      </c>
      <c r="G8" s="72">
        <v>0.75</v>
      </c>
      <c r="H8" s="81">
        <v>1</v>
      </c>
      <c r="I8" s="232">
        <v>0.25</v>
      </c>
      <c r="J8" s="72"/>
      <c r="K8" s="72"/>
      <c r="L8" s="84"/>
      <c r="M8" s="1013"/>
      <c r="N8" s="1016"/>
      <c r="O8" s="1016"/>
      <c r="P8" s="1019"/>
      <c r="Q8" s="1022"/>
      <c r="R8" s="1022"/>
      <c r="S8" s="1022"/>
      <c r="T8" s="1022"/>
      <c r="U8" s="1013"/>
      <c r="V8" s="1016"/>
      <c r="W8" s="1016"/>
      <c r="X8" s="1019"/>
      <c r="Y8" s="1013"/>
      <c r="Z8" s="1016"/>
      <c r="AA8" s="1016"/>
      <c r="AB8" s="1019"/>
    </row>
    <row r="9" spans="2:28" s="71" customFormat="1" ht="51" customHeight="1" x14ac:dyDescent="0.25">
      <c r="B9" s="1163"/>
      <c r="C9" s="1166"/>
      <c r="D9" s="87" t="s">
        <v>37</v>
      </c>
      <c r="E9" s="80">
        <v>0.25</v>
      </c>
      <c r="F9" s="72">
        <v>0.5</v>
      </c>
      <c r="G9" s="72">
        <v>0.75</v>
      </c>
      <c r="H9" s="81">
        <v>1</v>
      </c>
      <c r="I9" s="232">
        <v>0.25</v>
      </c>
      <c r="J9" s="72"/>
      <c r="K9" s="72"/>
      <c r="L9" s="84"/>
      <c r="M9" s="1013"/>
      <c r="N9" s="1016"/>
      <c r="O9" s="1016"/>
      <c r="P9" s="1019"/>
      <c r="Q9" s="1022"/>
      <c r="R9" s="1022"/>
      <c r="S9" s="1022"/>
      <c r="T9" s="1022"/>
      <c r="U9" s="1013"/>
      <c r="V9" s="1016"/>
      <c r="W9" s="1016"/>
      <c r="X9" s="1019"/>
      <c r="Y9" s="1013"/>
      <c r="Z9" s="1016"/>
      <c r="AA9" s="1016"/>
      <c r="AB9" s="1019"/>
    </row>
    <row r="10" spans="2:28" s="71" customFormat="1" ht="128.25" customHeight="1" x14ac:dyDescent="0.25">
      <c r="B10" s="1163"/>
      <c r="C10" s="1166"/>
      <c r="D10" s="87" t="s">
        <v>38</v>
      </c>
      <c r="E10" s="80">
        <v>0.25</v>
      </c>
      <c r="F10" s="72">
        <v>0.5</v>
      </c>
      <c r="G10" s="72">
        <v>0.75</v>
      </c>
      <c r="H10" s="81">
        <v>1</v>
      </c>
      <c r="I10" s="232">
        <v>0.25</v>
      </c>
      <c r="J10" s="72"/>
      <c r="K10" s="72"/>
      <c r="L10" s="84"/>
      <c r="M10" s="1013"/>
      <c r="N10" s="1016"/>
      <c r="O10" s="1016"/>
      <c r="P10" s="1019"/>
      <c r="Q10" s="1022"/>
      <c r="R10" s="1022"/>
      <c r="S10" s="1022"/>
      <c r="T10" s="1022"/>
      <c r="U10" s="1013"/>
      <c r="V10" s="1016"/>
      <c r="W10" s="1016"/>
      <c r="X10" s="1019"/>
      <c r="Y10" s="1013"/>
      <c r="Z10" s="1016"/>
      <c r="AA10" s="1016"/>
      <c r="AB10" s="1019"/>
    </row>
    <row r="11" spans="2:28" ht="73.5" customHeight="1" x14ac:dyDescent="0.25">
      <c r="B11" s="1163"/>
      <c r="C11" s="1166"/>
      <c r="D11" s="87" t="s">
        <v>39</v>
      </c>
      <c r="E11" s="80">
        <v>0.05</v>
      </c>
      <c r="F11" s="72">
        <v>0.45</v>
      </c>
      <c r="G11" s="72">
        <v>0.75</v>
      </c>
      <c r="H11" s="81">
        <v>1</v>
      </c>
      <c r="I11" s="237">
        <v>0</v>
      </c>
      <c r="J11" s="72"/>
      <c r="K11" s="72"/>
      <c r="L11" s="84"/>
      <c r="M11" s="1013"/>
      <c r="N11" s="1016"/>
      <c r="O11" s="1016"/>
      <c r="P11" s="1019"/>
      <c r="Q11" s="1022"/>
      <c r="R11" s="1022"/>
      <c r="S11" s="1022"/>
      <c r="T11" s="1022"/>
      <c r="U11" s="1013"/>
      <c r="V11" s="1016"/>
      <c r="W11" s="1016"/>
      <c r="X11" s="1019"/>
      <c r="Y11" s="1013"/>
      <c r="Z11" s="1016"/>
      <c r="AA11" s="1016"/>
      <c r="AB11" s="1019"/>
    </row>
    <row r="12" spans="2:28" ht="150.75" customHeight="1" thickBot="1" x14ac:dyDescent="0.3">
      <c r="B12" s="1164"/>
      <c r="C12" s="1167"/>
      <c r="D12" s="88" t="s">
        <v>40</v>
      </c>
      <c r="E12" s="89"/>
      <c r="F12" s="90">
        <v>0.5</v>
      </c>
      <c r="G12" s="90">
        <v>0.5</v>
      </c>
      <c r="H12" s="91">
        <v>1</v>
      </c>
      <c r="I12" s="89"/>
      <c r="J12" s="90"/>
      <c r="K12" s="90"/>
      <c r="L12" s="94"/>
      <c r="M12" s="1014"/>
      <c r="N12" s="1017"/>
      <c r="O12" s="1017"/>
      <c r="P12" s="1020"/>
      <c r="Q12" s="1023"/>
      <c r="R12" s="1023"/>
      <c r="S12" s="1023"/>
      <c r="T12" s="1023"/>
      <c r="U12" s="1014"/>
      <c r="V12" s="1017"/>
      <c r="W12" s="1017"/>
      <c r="X12" s="1020"/>
      <c r="Y12" s="1014"/>
      <c r="Z12" s="1017"/>
      <c r="AA12" s="1017"/>
      <c r="AB12" s="1020"/>
    </row>
    <row r="13" spans="2:28" s="139" customFormat="1" ht="23.25" customHeight="1" thickBot="1" x14ac:dyDescent="0.3">
      <c r="B13" s="137" t="s">
        <v>12</v>
      </c>
      <c r="C13" s="92">
        <f>SUM(C7:C12)</f>
        <v>1</v>
      </c>
      <c r="D13" s="138"/>
      <c r="E13" s="64"/>
      <c r="F13" s="46"/>
      <c r="G13" s="46"/>
      <c r="H13" s="47"/>
      <c r="I13" s="64"/>
      <c r="J13" s="46"/>
      <c r="K13" s="46"/>
      <c r="L13" s="47"/>
      <c r="M13" s="105">
        <f>+M7</f>
        <v>0.21000000000000002</v>
      </c>
      <c r="N13" s="103">
        <f>+N7</f>
        <v>0.4916666666666667</v>
      </c>
      <c r="O13" s="103">
        <f>+O7</f>
        <v>0.70833333333333337</v>
      </c>
      <c r="P13" s="104">
        <f>+P7</f>
        <v>1</v>
      </c>
      <c r="Q13" s="102">
        <f>+Q7</f>
        <v>0.2</v>
      </c>
      <c r="R13" s="103"/>
      <c r="S13" s="103"/>
      <c r="T13" s="104"/>
      <c r="U13" s="102">
        <f>SUM(U7:U12)</f>
        <v>0.2</v>
      </c>
      <c r="V13" s="103" t="e">
        <f>SUM(V7:V12)</f>
        <v>#DIV/0!</v>
      </c>
      <c r="W13" s="103" t="e">
        <f>SUM(W7:W12)</f>
        <v>#DIV/0!</v>
      </c>
      <c r="X13" s="104" t="e">
        <f>SUM(X7:X12)</f>
        <v>#DIV/0!</v>
      </c>
      <c r="Y13" s="102">
        <f>+U13/M13</f>
        <v>0.95238095238095233</v>
      </c>
      <c r="Z13" s="103"/>
      <c r="AA13" s="103"/>
      <c r="AB13" s="104"/>
    </row>
    <row r="15" spans="2:28" x14ac:dyDescent="0.25">
      <c r="H15" t="s">
        <v>129</v>
      </c>
      <c r="I15" s="228"/>
    </row>
    <row r="16" spans="2:28" x14ac:dyDescent="0.25">
      <c r="H16" t="s">
        <v>130</v>
      </c>
      <c r="I16" s="229"/>
      <c r="J16" s="231">
        <f>4/5</f>
        <v>0.8</v>
      </c>
    </row>
    <row r="17" spans="8:10" x14ac:dyDescent="0.25">
      <c r="H17" t="s">
        <v>131</v>
      </c>
      <c r="I17" s="230"/>
      <c r="J17" s="231">
        <f>1/5</f>
        <v>0.2</v>
      </c>
    </row>
    <row r="19" spans="8:10" x14ac:dyDescent="0.25">
      <c r="J19" s="233">
        <f>SUM(J16:J18)</f>
        <v>1</v>
      </c>
    </row>
  </sheetData>
  <mergeCells count="28">
    <mergeCell ref="B7:B12"/>
    <mergeCell ref="C7:C12"/>
    <mergeCell ref="M7:M12"/>
    <mergeCell ref="N7:N12"/>
    <mergeCell ref="AA7:AA12"/>
    <mergeCell ref="W7:W12"/>
    <mergeCell ref="X7:X12"/>
    <mergeCell ref="Y7:Y12"/>
    <mergeCell ref="Z7:Z12"/>
    <mergeCell ref="Q7:Q12"/>
    <mergeCell ref="R7:R12"/>
    <mergeCell ref="S7:S12"/>
    <mergeCell ref="T7:T12"/>
    <mergeCell ref="AB7:AB12"/>
    <mergeCell ref="U7:U12"/>
    <mergeCell ref="V7:V12"/>
    <mergeCell ref="O7:O12"/>
    <mergeCell ref="P7:P12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24"/>
  <sheetViews>
    <sheetView zoomScale="70" zoomScaleNormal="70" workbookViewId="0">
      <selection activeCell="AE10" sqref="AE10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8.5703125" customWidth="1"/>
    <col min="4" max="4" width="36" customWidth="1"/>
    <col min="5" max="5" width="16.140625" hidden="1" customWidth="1"/>
    <col min="6" max="6" width="15.140625" hidden="1" customWidth="1"/>
    <col min="7" max="7" width="18.5703125" customWidth="1"/>
    <col min="8" max="8" width="11.42578125" hidden="1" customWidth="1"/>
    <col min="9" max="9" width="17.140625" hidden="1" customWidth="1"/>
    <col min="10" max="10" width="15.5703125" hidden="1" customWidth="1"/>
    <col min="11" max="11" width="21.28515625" customWidth="1"/>
    <col min="12" max="12" width="12.42578125" hidden="1" customWidth="1"/>
    <col min="13" max="13" width="26.42578125" style="139" hidden="1" customWidth="1"/>
    <col min="14" max="14" width="28" style="139" hidden="1" customWidth="1"/>
    <col min="15" max="15" width="28" style="139" customWidth="1"/>
    <col min="16" max="16" width="2.140625" style="139" hidden="1" customWidth="1"/>
    <col min="17" max="17" width="12.85546875" style="139" hidden="1" customWidth="1"/>
    <col min="18" max="18" width="23.28515625" style="139" hidden="1" customWidth="1"/>
    <col min="19" max="19" width="23.7109375" style="139" customWidth="1"/>
    <col min="20" max="20" width="14.28515625" style="139" hidden="1" customWidth="1"/>
    <col min="21" max="21" width="24.42578125" style="139" hidden="1" customWidth="1"/>
    <col min="22" max="22" width="19.5703125" style="139" hidden="1" customWidth="1"/>
    <col min="23" max="23" width="21.42578125" style="139" customWidth="1"/>
    <col min="24" max="24" width="14.85546875" style="139" hidden="1" customWidth="1"/>
    <col min="25" max="25" width="20.85546875" style="139" hidden="1" customWidth="1"/>
    <col min="26" max="26" width="21" style="139" hidden="1" customWidth="1"/>
    <col min="27" max="27" width="22.7109375" style="139" customWidth="1"/>
    <col min="28" max="28" width="15.42578125" style="139" hidden="1" customWidth="1"/>
  </cols>
  <sheetData>
    <row r="2" spans="2:28" ht="15.75" thickBot="1" x14ac:dyDescent="0.3"/>
    <row r="3" spans="2:28" ht="34.5" thickBot="1" x14ac:dyDescent="0.55000000000000004">
      <c r="B3" s="1173" t="s">
        <v>307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5"/>
    </row>
    <row r="4" spans="2:28" ht="15.75" thickBot="1" x14ac:dyDescent="0.3"/>
    <row r="5" spans="2:28" ht="68.25" customHeight="1" thickTop="1" x14ac:dyDescent="0.25">
      <c r="B5" s="1094" t="s">
        <v>0</v>
      </c>
      <c r="C5" s="1096" t="s">
        <v>1</v>
      </c>
      <c r="D5" s="1098" t="s">
        <v>2</v>
      </c>
      <c r="E5" s="1056" t="s">
        <v>3</v>
      </c>
      <c r="F5" s="1064"/>
      <c r="G5" s="1064"/>
      <c r="H5" s="1064"/>
      <c r="I5" s="1056" t="s">
        <v>4</v>
      </c>
      <c r="J5" s="1064"/>
      <c r="K5" s="1064"/>
      <c r="L5" s="1064"/>
      <c r="M5" s="1056" t="s">
        <v>16</v>
      </c>
      <c r="N5" s="1056"/>
      <c r="O5" s="1056"/>
      <c r="P5" s="1056"/>
      <c r="Q5" s="1056" t="s">
        <v>5</v>
      </c>
      <c r="R5" s="1056"/>
      <c r="S5" s="1056"/>
      <c r="T5" s="1056"/>
      <c r="U5" s="1056" t="s">
        <v>6</v>
      </c>
      <c r="V5" s="1056"/>
      <c r="W5" s="1056"/>
      <c r="X5" s="1056"/>
      <c r="Y5" s="1056" t="s">
        <v>7</v>
      </c>
      <c r="Z5" s="1056"/>
      <c r="AA5" s="1056"/>
      <c r="AB5" s="1057"/>
    </row>
    <row r="6" spans="2:28" ht="21.75" customHeight="1" thickBot="1" x14ac:dyDescent="0.3">
      <c r="B6" s="1095"/>
      <c r="C6" s="1097"/>
      <c r="D6" s="1099"/>
      <c r="E6" s="655" t="s">
        <v>8</v>
      </c>
      <c r="F6" s="655" t="s">
        <v>9</v>
      </c>
      <c r="G6" s="655" t="s">
        <v>10</v>
      </c>
      <c r="H6" s="655" t="s">
        <v>11</v>
      </c>
      <c r="I6" s="655" t="s">
        <v>8</v>
      </c>
      <c r="J6" s="655" t="s">
        <v>9</v>
      </c>
      <c r="K6" s="655" t="s">
        <v>10</v>
      </c>
      <c r="L6" s="655" t="s">
        <v>11</v>
      </c>
      <c r="M6" s="655" t="s">
        <v>8</v>
      </c>
      <c r="N6" s="655" t="s">
        <v>9</v>
      </c>
      <c r="O6" s="655" t="s">
        <v>10</v>
      </c>
      <c r="P6" s="655" t="s">
        <v>11</v>
      </c>
      <c r="Q6" s="655" t="s">
        <v>8</v>
      </c>
      <c r="R6" s="655" t="s">
        <v>9</v>
      </c>
      <c r="S6" s="655" t="s">
        <v>10</v>
      </c>
      <c r="T6" s="655" t="s">
        <v>11</v>
      </c>
      <c r="U6" s="655" t="s">
        <v>8</v>
      </c>
      <c r="V6" s="655" t="s">
        <v>9</v>
      </c>
      <c r="W6" s="655" t="s">
        <v>10</v>
      </c>
      <c r="X6" s="655" t="s">
        <v>11</v>
      </c>
      <c r="Y6" s="655" t="s">
        <v>8</v>
      </c>
      <c r="Z6" s="655" t="s">
        <v>9</v>
      </c>
      <c r="AA6" s="655" t="s">
        <v>10</v>
      </c>
      <c r="AB6" s="656" t="s">
        <v>11</v>
      </c>
    </row>
    <row r="7" spans="2:28" s="71" customFormat="1" ht="84" customHeight="1" thickTop="1" x14ac:dyDescent="0.25">
      <c r="B7" s="1170" t="s">
        <v>34</v>
      </c>
      <c r="C7" s="1176">
        <v>1</v>
      </c>
      <c r="D7" s="470" t="s">
        <v>247</v>
      </c>
      <c r="E7" s="810">
        <v>0.25</v>
      </c>
      <c r="F7" s="811">
        <v>0.5</v>
      </c>
      <c r="G7" s="811">
        <v>0.75</v>
      </c>
      <c r="H7" s="811">
        <v>1</v>
      </c>
      <c r="I7" s="812">
        <v>0.25</v>
      </c>
      <c r="J7" s="812">
        <v>0.5</v>
      </c>
      <c r="K7" s="601">
        <v>0.7</v>
      </c>
      <c r="L7" s="813"/>
      <c r="M7" s="1179">
        <f>+AVERAGE(E7:E16)*$C$7</f>
        <v>0.255</v>
      </c>
      <c r="N7" s="1179">
        <f>+AVERAGE(F7:F16)*$C$7</f>
        <v>0.55000000000000004</v>
      </c>
      <c r="O7" s="1179">
        <f>+AVERAGE(G7:G16)*$C$7</f>
        <v>0.75555555555555554</v>
      </c>
      <c r="P7" s="1179">
        <f>+AVERAGE(H7:H16)*$C$7</f>
        <v>1</v>
      </c>
      <c r="Q7" s="1179">
        <f>+AVERAGE(I7:I16)</f>
        <v>0.19</v>
      </c>
      <c r="R7" s="1179">
        <f>+AVERAGE(J7:J16)</f>
        <v>0.47299999999999998</v>
      </c>
      <c r="S7" s="1179">
        <f>+AVERAGE(K7:K16)</f>
        <v>0.72555555555555551</v>
      </c>
      <c r="T7" s="1179" t="e">
        <f>+AVERAGE(L7:L16)</f>
        <v>#DIV/0!</v>
      </c>
      <c r="U7" s="1179">
        <f>+Q7*$C$7</f>
        <v>0.19</v>
      </c>
      <c r="V7" s="1179">
        <f>+R7*$C$7</f>
        <v>0.47299999999999998</v>
      </c>
      <c r="W7" s="1179">
        <f>+S7*$C$7</f>
        <v>0.72555555555555551</v>
      </c>
      <c r="X7" s="1179" t="e">
        <f>+T7*$C$7</f>
        <v>#DIV/0!</v>
      </c>
      <c r="Y7" s="1179">
        <f>+U7/M7</f>
        <v>0.74509803921568629</v>
      </c>
      <c r="Z7" s="1182">
        <f>+V7/N7</f>
        <v>0.85999999999999988</v>
      </c>
      <c r="AA7" s="1185">
        <f>+W7/O7</f>
        <v>0.96029411764705874</v>
      </c>
      <c r="AB7" s="1168" t="e">
        <f>+X7/P7</f>
        <v>#DIV/0!</v>
      </c>
    </row>
    <row r="8" spans="2:28" s="71" customFormat="1" ht="81" customHeight="1" x14ac:dyDescent="0.25">
      <c r="B8" s="1171"/>
      <c r="C8" s="1177"/>
      <c r="D8" s="582" t="s">
        <v>313</v>
      </c>
      <c r="E8" s="192">
        <v>0.25</v>
      </c>
      <c r="F8" s="430">
        <v>0.5</v>
      </c>
      <c r="G8" s="430">
        <v>0.75</v>
      </c>
      <c r="H8" s="430">
        <v>1</v>
      </c>
      <c r="I8" s="422">
        <v>0.25</v>
      </c>
      <c r="J8" s="423">
        <v>0.48</v>
      </c>
      <c r="K8" s="423">
        <v>0.73</v>
      </c>
      <c r="L8" s="54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1180"/>
      <c r="X8" s="1180"/>
      <c r="Y8" s="1180"/>
      <c r="Z8" s="1183"/>
      <c r="AA8" s="1186"/>
      <c r="AB8" s="1169"/>
    </row>
    <row r="9" spans="2:28" s="71" customFormat="1" ht="47.25" customHeight="1" x14ac:dyDescent="0.25">
      <c r="B9" s="1171"/>
      <c r="C9" s="1177"/>
      <c r="D9" s="582" t="s">
        <v>37</v>
      </c>
      <c r="E9" s="192">
        <v>0.25</v>
      </c>
      <c r="F9" s="430">
        <v>0.5</v>
      </c>
      <c r="G9" s="430">
        <v>0.75</v>
      </c>
      <c r="H9" s="430">
        <v>1</v>
      </c>
      <c r="I9" s="422">
        <v>0.25</v>
      </c>
      <c r="J9" s="422">
        <v>0.5</v>
      </c>
      <c r="K9" s="422">
        <v>0.75</v>
      </c>
      <c r="L9" s="540"/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3"/>
      <c r="AA9" s="1186"/>
      <c r="AB9" s="1169"/>
    </row>
    <row r="10" spans="2:28" s="71" customFormat="1" ht="117.75" customHeight="1" x14ac:dyDescent="0.25">
      <c r="B10" s="1171"/>
      <c r="C10" s="1177"/>
      <c r="D10" s="582" t="s">
        <v>38</v>
      </c>
      <c r="E10" s="192">
        <v>0.25</v>
      </c>
      <c r="F10" s="430">
        <v>0.5</v>
      </c>
      <c r="G10" s="430">
        <v>0.75</v>
      </c>
      <c r="H10" s="430">
        <v>1</v>
      </c>
      <c r="I10" s="422">
        <v>0.25</v>
      </c>
      <c r="J10" s="422">
        <v>0.5</v>
      </c>
      <c r="K10" s="422">
        <v>0.75</v>
      </c>
      <c r="L10" s="540"/>
      <c r="M10" s="1180"/>
      <c r="N10" s="1180"/>
      <c r="O10" s="1180"/>
      <c r="P10" s="1180"/>
      <c r="Q10" s="1180"/>
      <c r="R10" s="1180"/>
      <c r="S10" s="1180"/>
      <c r="T10" s="1180"/>
      <c r="U10" s="1180"/>
      <c r="V10" s="1180"/>
      <c r="W10" s="1180"/>
      <c r="X10" s="1180"/>
      <c r="Y10" s="1180"/>
      <c r="Z10" s="1183"/>
      <c r="AA10" s="1186"/>
      <c r="AB10" s="1169"/>
    </row>
    <row r="11" spans="2:28" s="71" customFormat="1" ht="46.5" customHeight="1" x14ac:dyDescent="0.25">
      <c r="B11" s="1171"/>
      <c r="C11" s="1177"/>
      <c r="D11" s="582" t="s">
        <v>248</v>
      </c>
      <c r="E11" s="192">
        <v>0.25</v>
      </c>
      <c r="F11" s="430">
        <v>0.5</v>
      </c>
      <c r="G11" s="430">
        <v>0.75</v>
      </c>
      <c r="H11" s="430">
        <v>1</v>
      </c>
      <c r="I11" s="422">
        <v>0.25</v>
      </c>
      <c r="J11" s="422">
        <v>0.5</v>
      </c>
      <c r="K11" s="422">
        <v>0.75</v>
      </c>
      <c r="L11" s="540"/>
      <c r="M11" s="1180"/>
      <c r="N11" s="1180"/>
      <c r="O11" s="1180"/>
      <c r="P11" s="1180"/>
      <c r="Q11" s="1180"/>
      <c r="R11" s="1180"/>
      <c r="S11" s="1180"/>
      <c r="T11" s="1180"/>
      <c r="U11" s="1180"/>
      <c r="V11" s="1180"/>
      <c r="W11" s="1180"/>
      <c r="X11" s="1180"/>
      <c r="Y11" s="1180"/>
      <c r="Z11" s="1183"/>
      <c r="AA11" s="1186"/>
      <c r="AB11" s="1169"/>
    </row>
    <row r="12" spans="2:28" s="71" customFormat="1" ht="46.5" customHeight="1" x14ac:dyDescent="0.25">
      <c r="B12" s="1171"/>
      <c r="C12" s="1177"/>
      <c r="D12" s="582" t="s">
        <v>284</v>
      </c>
      <c r="E12" s="192">
        <v>0.25</v>
      </c>
      <c r="F12" s="430">
        <v>0.5</v>
      </c>
      <c r="G12" s="430">
        <v>0.75</v>
      </c>
      <c r="H12" s="430">
        <v>1</v>
      </c>
      <c r="I12" s="422">
        <v>0.25</v>
      </c>
      <c r="J12" s="422">
        <v>0.5</v>
      </c>
      <c r="K12" s="430"/>
      <c r="L12" s="540"/>
      <c r="M12" s="1180"/>
      <c r="N12" s="1180"/>
      <c r="O12" s="1180"/>
      <c r="P12" s="1180"/>
      <c r="Q12" s="1180"/>
      <c r="R12" s="1180"/>
      <c r="S12" s="1180"/>
      <c r="T12" s="1180"/>
      <c r="U12" s="1180"/>
      <c r="V12" s="1180"/>
      <c r="W12" s="1180"/>
      <c r="X12" s="1180"/>
      <c r="Y12" s="1180"/>
      <c r="Z12" s="1183"/>
      <c r="AA12" s="1186"/>
      <c r="AB12" s="1169"/>
    </row>
    <row r="13" spans="2:28" s="71" customFormat="1" ht="79.5" customHeight="1" x14ac:dyDescent="0.25">
      <c r="B13" s="1171"/>
      <c r="C13" s="1177"/>
      <c r="D13" s="582" t="s">
        <v>265</v>
      </c>
      <c r="E13" s="192">
        <v>0.25</v>
      </c>
      <c r="F13" s="430">
        <v>0.5</v>
      </c>
      <c r="G13" s="430">
        <v>0.75</v>
      </c>
      <c r="H13" s="430">
        <v>1</v>
      </c>
      <c r="I13" s="583">
        <v>0</v>
      </c>
      <c r="J13" s="423">
        <v>0.25</v>
      </c>
      <c r="K13" s="422">
        <v>0.75</v>
      </c>
      <c r="L13" s="540"/>
      <c r="M13" s="1180"/>
      <c r="N13" s="1180"/>
      <c r="O13" s="1180"/>
      <c r="P13" s="1180"/>
      <c r="Q13" s="1180"/>
      <c r="R13" s="1180"/>
      <c r="S13" s="1180"/>
      <c r="T13" s="1180"/>
      <c r="U13" s="1180"/>
      <c r="V13" s="1180"/>
      <c r="W13" s="1180"/>
      <c r="X13" s="1180"/>
      <c r="Y13" s="1180"/>
      <c r="Z13" s="1183"/>
      <c r="AA13" s="1186"/>
      <c r="AB13" s="1169"/>
    </row>
    <row r="14" spans="2:28" s="71" customFormat="1" ht="36.75" customHeight="1" x14ac:dyDescent="0.25">
      <c r="B14" s="1171"/>
      <c r="C14" s="1177"/>
      <c r="D14" s="582" t="s">
        <v>249</v>
      </c>
      <c r="E14" s="192">
        <v>0.5</v>
      </c>
      <c r="F14" s="430">
        <v>1</v>
      </c>
      <c r="G14" s="430"/>
      <c r="H14" s="430"/>
      <c r="I14" s="583">
        <v>0.2</v>
      </c>
      <c r="J14" s="423">
        <v>0.5</v>
      </c>
      <c r="K14" s="422">
        <v>0.6</v>
      </c>
      <c r="L14" s="540"/>
      <c r="M14" s="1180"/>
      <c r="N14" s="1180"/>
      <c r="O14" s="1180"/>
      <c r="P14" s="1180"/>
      <c r="Q14" s="1180"/>
      <c r="R14" s="1180"/>
      <c r="S14" s="1180"/>
      <c r="T14" s="1180"/>
      <c r="U14" s="1180"/>
      <c r="V14" s="1180"/>
      <c r="W14" s="1180"/>
      <c r="X14" s="1180"/>
      <c r="Y14" s="1180"/>
      <c r="Z14" s="1183"/>
      <c r="AA14" s="1186"/>
      <c r="AB14" s="1169"/>
    </row>
    <row r="15" spans="2:28" s="71" customFormat="1" ht="81.75" customHeight="1" x14ac:dyDescent="0.25">
      <c r="B15" s="1171"/>
      <c r="C15" s="1177"/>
      <c r="D15" s="582" t="s">
        <v>250</v>
      </c>
      <c r="E15" s="192">
        <v>0.1</v>
      </c>
      <c r="F15" s="430">
        <v>0.4</v>
      </c>
      <c r="G15" s="430">
        <v>0.75</v>
      </c>
      <c r="H15" s="430">
        <v>1</v>
      </c>
      <c r="I15" s="422">
        <v>0.1</v>
      </c>
      <c r="J15" s="422">
        <v>0.4</v>
      </c>
      <c r="K15" s="422">
        <v>0.75</v>
      </c>
      <c r="L15" s="540"/>
      <c r="M15" s="1180"/>
      <c r="N15" s="1180"/>
      <c r="O15" s="1180"/>
      <c r="P15" s="1180"/>
      <c r="Q15" s="1180"/>
      <c r="R15" s="1180"/>
      <c r="S15" s="1180"/>
      <c r="T15" s="1180"/>
      <c r="U15" s="1180"/>
      <c r="V15" s="1180"/>
      <c r="W15" s="1180"/>
      <c r="X15" s="1180"/>
      <c r="Y15" s="1180"/>
      <c r="Z15" s="1183"/>
      <c r="AA15" s="1186"/>
      <c r="AB15" s="1169"/>
    </row>
    <row r="16" spans="2:28" s="71" customFormat="1" ht="39.75" customHeight="1" thickBot="1" x14ac:dyDescent="0.3">
      <c r="B16" s="1172"/>
      <c r="C16" s="1178"/>
      <c r="D16" s="814" t="s">
        <v>251</v>
      </c>
      <c r="E16" s="815">
        <v>0.2</v>
      </c>
      <c r="F16" s="454">
        <v>0.6</v>
      </c>
      <c r="G16" s="454">
        <v>0.8</v>
      </c>
      <c r="H16" s="454">
        <v>1</v>
      </c>
      <c r="I16" s="816">
        <v>0.1</v>
      </c>
      <c r="J16" s="626">
        <v>0.6</v>
      </c>
      <c r="K16" s="817">
        <v>0.75</v>
      </c>
      <c r="L16" s="818"/>
      <c r="M16" s="1181"/>
      <c r="N16" s="1181"/>
      <c r="O16" s="1181"/>
      <c r="P16" s="1181"/>
      <c r="Q16" s="1181"/>
      <c r="R16" s="1181"/>
      <c r="S16" s="1181"/>
      <c r="T16" s="1181"/>
      <c r="U16" s="1181"/>
      <c r="V16" s="1181"/>
      <c r="W16" s="1181"/>
      <c r="X16" s="1181"/>
      <c r="Y16" s="1181"/>
      <c r="Z16" s="1184"/>
      <c r="AA16" s="1187"/>
      <c r="AB16" s="1169"/>
    </row>
    <row r="17" spans="2:28" s="589" customFormat="1" ht="23.25" customHeight="1" thickTop="1" thickBot="1" x14ac:dyDescent="0.3">
      <c r="B17" s="657" t="s">
        <v>12</v>
      </c>
      <c r="C17" s="644">
        <f>SUM(C7:C16)</f>
        <v>1</v>
      </c>
      <c r="D17" s="658"/>
      <c r="E17" s="646"/>
      <c r="F17" s="647"/>
      <c r="G17" s="647"/>
      <c r="H17" s="648"/>
      <c r="I17" s="646"/>
      <c r="J17" s="647"/>
      <c r="K17" s="647"/>
      <c r="L17" s="648"/>
      <c r="M17" s="646">
        <f>+M7</f>
        <v>0.255</v>
      </c>
      <c r="N17" s="647">
        <f>+N7</f>
        <v>0.55000000000000004</v>
      </c>
      <c r="O17" s="647">
        <f>+O7</f>
        <v>0.75555555555555554</v>
      </c>
      <c r="P17" s="648">
        <f>+P7</f>
        <v>1</v>
      </c>
      <c r="Q17" s="646"/>
      <c r="R17" s="647"/>
      <c r="S17" s="647"/>
      <c r="T17" s="648"/>
      <c r="U17" s="646">
        <f>SUM(U7:U16)</f>
        <v>0.19</v>
      </c>
      <c r="V17" s="647">
        <f>SUM(V7:V16)</f>
        <v>0.47299999999999998</v>
      </c>
      <c r="W17" s="647">
        <f>SUM(W7:W16)</f>
        <v>0.72555555555555551</v>
      </c>
      <c r="X17" s="648" t="e">
        <f>SUM(X7:X16)</f>
        <v>#DIV/0!</v>
      </c>
      <c r="Y17" s="659">
        <f>+U17/M17</f>
        <v>0.74509803921568629</v>
      </c>
      <c r="Z17" s="653">
        <f>+V17/N17</f>
        <v>0.85999999999999988</v>
      </c>
      <c r="AA17" s="654">
        <f>+W17/O17</f>
        <v>0.96029411764705874</v>
      </c>
      <c r="AB17" s="588" t="e">
        <f>+X17/P17</f>
        <v>#DIV/0!</v>
      </c>
    </row>
    <row r="18" spans="2:28" ht="15.75" thickTop="1" x14ac:dyDescent="0.25"/>
    <row r="19" spans="2:28" x14ac:dyDescent="0.25">
      <c r="E19" s="390" t="s">
        <v>129</v>
      </c>
      <c r="H19" s="390"/>
      <c r="I19" s="389">
        <v>0</v>
      </c>
      <c r="J19" s="389">
        <v>0</v>
      </c>
      <c r="K19" s="389">
        <f>1/9</f>
        <v>0.1111111111111111</v>
      </c>
      <c r="L19" s="291"/>
      <c r="M19" s="346"/>
      <c r="N19" s="346"/>
      <c r="O19" s="346"/>
      <c r="P19" s="346"/>
    </row>
    <row r="20" spans="2:28" x14ac:dyDescent="0.25">
      <c r="E20" s="284" t="s">
        <v>130</v>
      </c>
      <c r="H20" s="402"/>
      <c r="I20" s="387">
        <f>7/10</f>
        <v>0.7</v>
      </c>
      <c r="J20" s="387">
        <f>7/10</f>
        <v>0.7</v>
      </c>
      <c r="K20" s="387">
        <f>5/9</f>
        <v>0.55555555555555558</v>
      </c>
      <c r="L20" s="291"/>
      <c r="M20" s="346"/>
      <c r="N20" s="346"/>
      <c r="O20" s="346"/>
      <c r="P20" s="346"/>
    </row>
    <row r="21" spans="2:28" x14ac:dyDescent="0.25">
      <c r="E21" s="394" t="s">
        <v>131</v>
      </c>
      <c r="H21" s="394"/>
      <c r="I21" s="397">
        <f>3/10</f>
        <v>0.3</v>
      </c>
      <c r="J21" s="397">
        <f>3/10</f>
        <v>0.3</v>
      </c>
      <c r="K21" s="393">
        <f>3/9</f>
        <v>0.33333333333333331</v>
      </c>
      <c r="L21" s="291"/>
      <c r="M21" s="346"/>
      <c r="N21" s="346"/>
      <c r="O21" s="346"/>
      <c r="P21" s="346"/>
    </row>
    <row r="22" spans="2:28" x14ac:dyDescent="0.25">
      <c r="E22" s="402" t="s">
        <v>12</v>
      </c>
      <c r="F22" s="402"/>
      <c r="G22" s="402"/>
      <c r="H22" s="402"/>
      <c r="I22" s="396">
        <f>SUM(I19:I21)</f>
        <v>1</v>
      </c>
      <c r="J22" s="396">
        <f>SUM(J19:J21)</f>
        <v>1</v>
      </c>
      <c r="K22" s="291">
        <f>SUM(K19:K21)</f>
        <v>1</v>
      </c>
      <c r="L22" s="71"/>
      <c r="M22" s="346"/>
      <c r="N22" s="346"/>
      <c r="O22" s="346"/>
      <c r="P22" s="346"/>
    </row>
    <row r="23" spans="2:28" x14ac:dyDescent="0.25">
      <c r="E23" s="71"/>
      <c r="F23" s="71"/>
      <c r="G23" s="71"/>
      <c r="H23" s="71"/>
      <c r="I23" s="71"/>
      <c r="J23" s="71"/>
      <c r="K23" s="292"/>
      <c r="L23" s="292"/>
      <c r="M23" s="346"/>
      <c r="N23" s="346"/>
      <c r="O23" s="346"/>
      <c r="P23" s="346"/>
    </row>
    <row r="24" spans="2:28" x14ac:dyDescent="0.25">
      <c r="E24" s="71"/>
      <c r="F24" s="71"/>
      <c r="G24" s="71"/>
      <c r="H24" s="71"/>
      <c r="I24" s="71"/>
      <c r="J24" s="71"/>
      <c r="K24" s="71"/>
      <c r="L24" s="71"/>
      <c r="M24" s="346"/>
      <c r="N24" s="346"/>
      <c r="O24" s="346"/>
      <c r="P24" s="346"/>
    </row>
  </sheetData>
  <mergeCells count="28">
    <mergeCell ref="O7:O16"/>
    <mergeCell ref="Z7:Z16"/>
    <mergeCell ref="AA7:AA16"/>
    <mergeCell ref="Y7:Y16"/>
    <mergeCell ref="P7:P16"/>
    <mergeCell ref="Q7:Q16"/>
    <mergeCell ref="R7:R16"/>
    <mergeCell ref="S7:S16"/>
    <mergeCell ref="T7:T16"/>
    <mergeCell ref="V7:V16"/>
    <mergeCell ref="W7:W16"/>
    <mergeCell ref="X7:X16"/>
    <mergeCell ref="AB7:AB16"/>
    <mergeCell ref="B7:B16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C7:C16"/>
    <mergeCell ref="U7:U16"/>
    <mergeCell ref="M7:M16"/>
    <mergeCell ref="N7:N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2:AE46"/>
  <sheetViews>
    <sheetView topLeftCell="A36" zoomScale="80" zoomScaleNormal="80" workbookViewId="0">
      <selection activeCell="K44" sqref="K44"/>
    </sheetView>
  </sheetViews>
  <sheetFormatPr baseColWidth="10" defaultRowHeight="14.25" x14ac:dyDescent="0.2"/>
  <cols>
    <col min="1" max="1" width="6" style="333" customWidth="1"/>
    <col min="2" max="2" width="29.7109375" style="333" customWidth="1"/>
    <col min="3" max="3" width="18.7109375" style="334" customWidth="1"/>
    <col min="4" max="4" width="36" style="333" customWidth="1"/>
    <col min="5" max="5" width="16" style="333" hidden="1" customWidth="1"/>
    <col min="6" max="6" width="15.7109375" style="333" hidden="1" customWidth="1"/>
    <col min="7" max="7" width="14.140625" style="333" customWidth="1"/>
    <col min="8" max="8" width="11.42578125" style="333" hidden="1" customWidth="1"/>
    <col min="9" max="9" width="17.140625" style="333" hidden="1" customWidth="1"/>
    <col min="10" max="10" width="17.28515625" style="333" hidden="1" customWidth="1"/>
    <col min="11" max="11" width="16.140625" style="333" customWidth="1"/>
    <col min="12" max="12" width="2.85546875" style="333" hidden="1" customWidth="1"/>
    <col min="13" max="13" width="24.42578125" style="333" hidden="1" customWidth="1"/>
    <col min="14" max="14" width="29.140625" style="333" hidden="1" customWidth="1"/>
    <col min="15" max="15" width="21.140625" style="333" customWidth="1"/>
    <col min="16" max="16" width="11.42578125" style="333" hidden="1" customWidth="1"/>
    <col min="17" max="17" width="24.5703125" style="333" hidden="1" customWidth="1"/>
    <col min="18" max="18" width="28.42578125" style="333" hidden="1" customWidth="1"/>
    <col min="19" max="19" width="20.140625" style="333" customWidth="1"/>
    <col min="20" max="20" width="4" style="333" hidden="1" customWidth="1"/>
    <col min="21" max="21" width="22.5703125" style="333" hidden="1" customWidth="1"/>
    <col min="22" max="22" width="28.7109375" style="333" hidden="1" customWidth="1"/>
    <col min="23" max="23" width="24.140625" style="333" customWidth="1"/>
    <col min="24" max="24" width="12.7109375" style="333" hidden="1" customWidth="1"/>
    <col min="25" max="25" width="22.42578125" style="333" hidden="1" customWidth="1"/>
    <col min="26" max="26" width="31.28515625" style="333" hidden="1" customWidth="1"/>
    <col min="27" max="27" width="20.28515625" style="333" customWidth="1"/>
    <col min="28" max="28" width="11.42578125" style="333" hidden="1" customWidth="1"/>
    <col min="29" max="16384" width="11.42578125" style="333"/>
  </cols>
  <sheetData>
    <row r="2" spans="2:28" ht="15" thickBot="1" x14ac:dyDescent="0.25"/>
    <row r="3" spans="2:28" ht="29.25" thickTop="1" thickBot="1" x14ac:dyDescent="0.45">
      <c r="B3" s="1261" t="s">
        <v>324</v>
      </c>
      <c r="C3" s="1262"/>
      <c r="D3" s="1262"/>
      <c r="E3" s="1262"/>
      <c r="F3" s="1262"/>
      <c r="G3" s="1262"/>
      <c r="H3" s="1262"/>
      <c r="I3" s="1262"/>
      <c r="J3" s="1262"/>
      <c r="K3" s="1262"/>
      <c r="L3" s="1262"/>
      <c r="M3" s="1262"/>
      <c r="N3" s="1262"/>
      <c r="O3" s="1262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3"/>
    </row>
    <row r="4" spans="2:28" ht="15.75" thickTop="1" thickBot="1" x14ac:dyDescent="0.25"/>
    <row r="5" spans="2:28" ht="77.25" customHeight="1" thickTop="1" x14ac:dyDescent="0.2">
      <c r="B5" s="1264" t="s">
        <v>0</v>
      </c>
      <c r="C5" s="1266" t="s">
        <v>1</v>
      </c>
      <c r="D5" s="1268" t="s">
        <v>2</v>
      </c>
      <c r="E5" s="1270" t="s">
        <v>3</v>
      </c>
      <c r="F5" s="1271"/>
      <c r="G5" s="1271"/>
      <c r="H5" s="1272"/>
      <c r="I5" s="1270" t="s">
        <v>4</v>
      </c>
      <c r="J5" s="1271"/>
      <c r="K5" s="1271"/>
      <c r="L5" s="1273"/>
      <c r="M5" s="1270" t="s">
        <v>16</v>
      </c>
      <c r="N5" s="1274"/>
      <c r="O5" s="1274"/>
      <c r="P5" s="1275"/>
      <c r="Q5" s="1270" t="s">
        <v>5</v>
      </c>
      <c r="R5" s="1274"/>
      <c r="S5" s="1274"/>
      <c r="T5" s="1275"/>
      <c r="U5" s="1270" t="s">
        <v>6</v>
      </c>
      <c r="V5" s="1274"/>
      <c r="W5" s="1274"/>
      <c r="X5" s="1275"/>
      <c r="Y5" s="1270" t="s">
        <v>7</v>
      </c>
      <c r="Z5" s="1274"/>
      <c r="AA5" s="1274"/>
      <c r="AB5" s="1276"/>
    </row>
    <row r="6" spans="2:28" ht="33.75" customHeight="1" thickBot="1" x14ac:dyDescent="0.25">
      <c r="B6" s="1265"/>
      <c r="C6" s="1267"/>
      <c r="D6" s="1269"/>
      <c r="E6" s="660" t="s">
        <v>8</v>
      </c>
      <c r="F6" s="661" t="s">
        <v>9</v>
      </c>
      <c r="G6" s="661" t="s">
        <v>10</v>
      </c>
      <c r="H6" s="662" t="s">
        <v>11</v>
      </c>
      <c r="I6" s="660" t="s">
        <v>8</v>
      </c>
      <c r="J6" s="661" t="s">
        <v>9</v>
      </c>
      <c r="K6" s="661" t="s">
        <v>10</v>
      </c>
      <c r="L6" s="663" t="s">
        <v>11</v>
      </c>
      <c r="M6" s="660" t="s">
        <v>8</v>
      </c>
      <c r="N6" s="661" t="s">
        <v>9</v>
      </c>
      <c r="O6" s="661" t="s">
        <v>10</v>
      </c>
      <c r="P6" s="663" t="s">
        <v>11</v>
      </c>
      <c r="Q6" s="660" t="s">
        <v>8</v>
      </c>
      <c r="R6" s="661" t="s">
        <v>9</v>
      </c>
      <c r="S6" s="661" t="s">
        <v>10</v>
      </c>
      <c r="T6" s="663" t="s">
        <v>11</v>
      </c>
      <c r="U6" s="660" t="s">
        <v>8</v>
      </c>
      <c r="V6" s="661" t="s">
        <v>9</v>
      </c>
      <c r="W6" s="661" t="s">
        <v>10</v>
      </c>
      <c r="X6" s="663" t="s">
        <v>11</v>
      </c>
      <c r="Y6" s="660" t="s">
        <v>8</v>
      </c>
      <c r="Z6" s="661" t="s">
        <v>9</v>
      </c>
      <c r="AA6" s="661" t="s">
        <v>10</v>
      </c>
      <c r="AB6" s="833" t="s">
        <v>11</v>
      </c>
    </row>
    <row r="7" spans="2:28" s="336" customFormat="1" ht="60.75" hidden="1" customHeight="1" thickTop="1" x14ac:dyDescent="0.2">
      <c r="B7" s="1248" t="s">
        <v>204</v>
      </c>
      <c r="C7" s="1251">
        <v>0.25</v>
      </c>
      <c r="D7" s="511" t="s">
        <v>205</v>
      </c>
      <c r="E7" s="585">
        <v>0.5</v>
      </c>
      <c r="F7" s="586">
        <v>0.75</v>
      </c>
      <c r="G7" s="753">
        <v>0.8</v>
      </c>
      <c r="H7" s="754">
        <v>1</v>
      </c>
      <c r="I7" s="755">
        <v>0.3</v>
      </c>
      <c r="J7" s="756">
        <v>0.5</v>
      </c>
      <c r="K7" s="756">
        <v>0.75</v>
      </c>
      <c r="L7" s="587"/>
      <c r="M7" s="1238">
        <f>+AVERAGE(E7:E10)*$C$7</f>
        <v>0.16875000000000001</v>
      </c>
      <c r="N7" s="1226">
        <f>+AVERAGE(F7:F10)*$C$7</f>
        <v>0.22812499999999999</v>
      </c>
      <c r="O7" s="1200">
        <f>+AVERAGE(G7:G10)*$C$7</f>
        <v>0.23749999999999999</v>
      </c>
      <c r="P7" s="1203">
        <f>+AVERAGE(H7:H10)*$C$7</f>
        <v>0.25</v>
      </c>
      <c r="Q7" s="1229">
        <f>+AVERAGE(I7:I10)</f>
        <v>0.625</v>
      </c>
      <c r="R7" s="1200">
        <f>+AVERAGE(J7:J10)</f>
        <v>0.8125</v>
      </c>
      <c r="S7" s="1200">
        <f>+AVERAGE(K7:K10)</f>
        <v>0.875</v>
      </c>
      <c r="T7" s="1203" t="e">
        <f>+AVERAGE(L7:L10)</f>
        <v>#DIV/0!</v>
      </c>
      <c r="U7" s="1229">
        <f>+Q7*$C$7</f>
        <v>0.15625</v>
      </c>
      <c r="V7" s="1200">
        <f>+R7*$C$7</f>
        <v>0.203125</v>
      </c>
      <c r="W7" s="1200">
        <f>+S7*$C$7</f>
        <v>0.21875</v>
      </c>
      <c r="X7" s="1203" t="e">
        <f>+T7*$C$7</f>
        <v>#DIV/0!</v>
      </c>
      <c r="Y7" s="1206">
        <f>+U7/M7</f>
        <v>0.92592592592592582</v>
      </c>
      <c r="Z7" s="1209">
        <f>+V7/N7</f>
        <v>0.8904109589041096</v>
      </c>
      <c r="AA7" s="1209">
        <f>+W7/O7</f>
        <v>0.92105263157894746</v>
      </c>
      <c r="AB7" s="1212" t="e">
        <f>+X7/P7</f>
        <v>#DIV/0!</v>
      </c>
    </row>
    <row r="8" spans="2:28" s="336" customFormat="1" ht="38.25" hidden="1" customHeight="1" x14ac:dyDescent="0.2">
      <c r="B8" s="1249"/>
      <c r="C8" s="1252"/>
      <c r="D8" s="347" t="s">
        <v>206</v>
      </c>
      <c r="E8" s="361">
        <v>0.7</v>
      </c>
      <c r="F8" s="335">
        <v>0.9</v>
      </c>
      <c r="G8" s="757">
        <v>1</v>
      </c>
      <c r="H8" s="758"/>
      <c r="I8" s="759">
        <v>0.7</v>
      </c>
      <c r="J8" s="760">
        <v>0.75</v>
      </c>
      <c r="K8" s="800">
        <v>0.75</v>
      </c>
      <c r="L8" s="362"/>
      <c r="M8" s="1239"/>
      <c r="N8" s="1227"/>
      <c r="O8" s="1201"/>
      <c r="P8" s="1204"/>
      <c r="Q8" s="1230"/>
      <c r="R8" s="1201"/>
      <c r="S8" s="1201"/>
      <c r="T8" s="1204"/>
      <c r="U8" s="1230"/>
      <c r="V8" s="1201"/>
      <c r="W8" s="1201"/>
      <c r="X8" s="1204"/>
      <c r="Y8" s="1207"/>
      <c r="Z8" s="1210"/>
      <c r="AA8" s="1210"/>
      <c r="AB8" s="1213"/>
    </row>
    <row r="9" spans="2:28" s="336" customFormat="1" ht="45" hidden="1" customHeight="1" x14ac:dyDescent="0.2">
      <c r="B9" s="1249"/>
      <c r="C9" s="1252"/>
      <c r="D9" s="347" t="s">
        <v>207</v>
      </c>
      <c r="E9" s="361">
        <v>1</v>
      </c>
      <c r="F9" s="335">
        <v>1</v>
      </c>
      <c r="G9" s="757">
        <v>1</v>
      </c>
      <c r="H9" s="758"/>
      <c r="I9" s="761">
        <v>1</v>
      </c>
      <c r="J9" s="762">
        <v>1</v>
      </c>
      <c r="K9" s="801">
        <v>1</v>
      </c>
      <c r="L9" s="362"/>
      <c r="M9" s="1239"/>
      <c r="N9" s="1227"/>
      <c r="O9" s="1201"/>
      <c r="P9" s="1204"/>
      <c r="Q9" s="1230"/>
      <c r="R9" s="1201"/>
      <c r="S9" s="1201"/>
      <c r="T9" s="1204"/>
      <c r="U9" s="1230"/>
      <c r="V9" s="1201"/>
      <c r="W9" s="1201"/>
      <c r="X9" s="1204"/>
      <c r="Y9" s="1207"/>
      <c r="Z9" s="1210"/>
      <c r="AA9" s="1210"/>
      <c r="AB9" s="1213"/>
    </row>
    <row r="10" spans="2:28" s="336" customFormat="1" ht="60.75" hidden="1" customHeight="1" thickBot="1" x14ac:dyDescent="0.25">
      <c r="B10" s="1250"/>
      <c r="C10" s="1253"/>
      <c r="D10" s="348" t="s">
        <v>208</v>
      </c>
      <c r="E10" s="363">
        <v>0.5</v>
      </c>
      <c r="F10" s="342">
        <v>1</v>
      </c>
      <c r="G10" s="763">
        <v>1</v>
      </c>
      <c r="H10" s="764"/>
      <c r="I10" s="765">
        <v>0.5</v>
      </c>
      <c r="J10" s="766">
        <v>1</v>
      </c>
      <c r="K10" s="831">
        <v>1</v>
      </c>
      <c r="L10" s="364"/>
      <c r="M10" s="1240"/>
      <c r="N10" s="1228"/>
      <c r="O10" s="1202"/>
      <c r="P10" s="1205"/>
      <c r="Q10" s="1231"/>
      <c r="R10" s="1202"/>
      <c r="S10" s="1202"/>
      <c r="T10" s="1205"/>
      <c r="U10" s="1231"/>
      <c r="V10" s="1202"/>
      <c r="W10" s="1202"/>
      <c r="X10" s="1205"/>
      <c r="Y10" s="1208"/>
      <c r="Z10" s="1211"/>
      <c r="AA10" s="1211"/>
      <c r="AB10" s="1214"/>
    </row>
    <row r="11" spans="2:28" s="336" customFormat="1" ht="60.75" hidden="1" customHeight="1" thickBot="1" x14ac:dyDescent="0.25">
      <c r="B11" s="1255" t="s">
        <v>209</v>
      </c>
      <c r="C11" s="1254">
        <v>0.25</v>
      </c>
      <c r="D11" s="488" t="s">
        <v>210</v>
      </c>
      <c r="E11" s="489">
        <v>0.25</v>
      </c>
      <c r="F11" s="490">
        <v>0.5</v>
      </c>
      <c r="G11" s="767">
        <v>0.75</v>
      </c>
      <c r="H11" s="768">
        <v>1</v>
      </c>
      <c r="I11" s="769">
        <v>0.5</v>
      </c>
      <c r="J11" s="770">
        <v>1</v>
      </c>
      <c r="K11" s="797">
        <v>1</v>
      </c>
      <c r="L11" s="368"/>
      <c r="M11" s="1241">
        <f>+AVERAGE(E11:E20)*$C$11</f>
        <v>6.9999999999999993E-2</v>
      </c>
      <c r="N11" s="1215">
        <f>+AVERAGE(F11:F20)*$C$11</f>
        <v>0.13250000000000001</v>
      </c>
      <c r="O11" s="1216">
        <f>+AVERAGE(G11:G20)*$C$11</f>
        <v>0.19125</v>
      </c>
      <c r="P11" s="1217">
        <f>+AVERAGE(H11:H20)*$C$11</f>
        <v>0.25</v>
      </c>
      <c r="Q11" s="1218">
        <f>+((I11+I12+I13+I14+I15+I16+I17+I19+I20)/9)</f>
        <v>0.46000000000000008</v>
      </c>
      <c r="R11" s="1216">
        <f>+AVERAGE(J11:J20)</f>
        <v>0.65500000000000003</v>
      </c>
      <c r="S11" s="1216">
        <f>+AVERAGE(K11:K20)</f>
        <v>0.873</v>
      </c>
      <c r="T11" s="1217" t="e">
        <f>+AVERAGE(L11:L20)</f>
        <v>#DIV/0!</v>
      </c>
      <c r="U11" s="1218">
        <f>+Q11*$C$11</f>
        <v>0.11500000000000002</v>
      </c>
      <c r="V11" s="1216">
        <f>+R11*$C$11</f>
        <v>0.16375000000000001</v>
      </c>
      <c r="W11" s="1216">
        <f>+S11*$C$11</f>
        <v>0.21825</v>
      </c>
      <c r="X11" s="1217" t="e">
        <f>+T11*$C$11</f>
        <v>#DIV/0!</v>
      </c>
      <c r="Y11" s="1219">
        <f>+U11/M11</f>
        <v>1.6428571428571432</v>
      </c>
      <c r="Z11" s="1222">
        <f>+V11/N11</f>
        <v>1.2358490566037736</v>
      </c>
      <c r="AA11" s="1222">
        <f>+W11/O11</f>
        <v>1.1411764705882352</v>
      </c>
      <c r="AB11" s="1224" t="e">
        <f>+X11/P11</f>
        <v>#DIV/0!</v>
      </c>
    </row>
    <row r="12" spans="2:28" s="336" customFormat="1" ht="60.75" hidden="1" customHeight="1" thickTop="1" thickBot="1" x14ac:dyDescent="0.25">
      <c r="B12" s="1249"/>
      <c r="C12" s="1252"/>
      <c r="D12" s="349" t="s">
        <v>211</v>
      </c>
      <c r="E12" s="366">
        <v>0.25</v>
      </c>
      <c r="F12" s="344">
        <v>0.5</v>
      </c>
      <c r="G12" s="772">
        <v>0.75</v>
      </c>
      <c r="H12" s="773">
        <v>1</v>
      </c>
      <c r="I12" s="774">
        <v>0.25</v>
      </c>
      <c r="J12" s="775">
        <v>0.5</v>
      </c>
      <c r="K12" s="801">
        <v>0.75</v>
      </c>
      <c r="L12" s="362"/>
      <c r="M12" s="1242"/>
      <c r="N12" s="1198"/>
      <c r="O12" s="1195"/>
      <c r="P12" s="1189"/>
      <c r="Q12" s="1192"/>
      <c r="R12" s="1195"/>
      <c r="S12" s="1195"/>
      <c r="T12" s="1189"/>
      <c r="U12" s="1192"/>
      <c r="V12" s="1195"/>
      <c r="W12" s="1195"/>
      <c r="X12" s="1189"/>
      <c r="Y12" s="1220"/>
      <c r="Z12" s="1210"/>
      <c r="AA12" s="1210"/>
      <c r="AB12" s="1213"/>
    </row>
    <row r="13" spans="2:28" s="336" customFormat="1" ht="60.75" hidden="1" customHeight="1" thickTop="1" thickBot="1" x14ac:dyDescent="0.25">
      <c r="B13" s="1249"/>
      <c r="C13" s="1252"/>
      <c r="D13" s="349" t="s">
        <v>212</v>
      </c>
      <c r="E13" s="366">
        <v>0.25</v>
      </c>
      <c r="F13" s="344">
        <v>0.5</v>
      </c>
      <c r="G13" s="772">
        <v>0.75</v>
      </c>
      <c r="H13" s="773">
        <v>1</v>
      </c>
      <c r="I13" s="774">
        <v>0.25</v>
      </c>
      <c r="J13" s="775">
        <v>0.5</v>
      </c>
      <c r="K13" s="801">
        <v>0.75</v>
      </c>
      <c r="L13" s="362"/>
      <c r="M13" s="1242"/>
      <c r="N13" s="1198"/>
      <c r="O13" s="1195"/>
      <c r="P13" s="1189"/>
      <c r="Q13" s="1192"/>
      <c r="R13" s="1195"/>
      <c r="S13" s="1195"/>
      <c r="T13" s="1189"/>
      <c r="U13" s="1192"/>
      <c r="V13" s="1195"/>
      <c r="W13" s="1195"/>
      <c r="X13" s="1189"/>
      <c r="Y13" s="1220"/>
      <c r="Z13" s="1210"/>
      <c r="AA13" s="1210"/>
      <c r="AB13" s="1213"/>
    </row>
    <row r="14" spans="2:28" s="336" customFormat="1" ht="60.75" hidden="1" customHeight="1" thickTop="1" thickBot="1" x14ac:dyDescent="0.25">
      <c r="B14" s="1249"/>
      <c r="C14" s="1252"/>
      <c r="D14" s="349" t="s">
        <v>213</v>
      </c>
      <c r="E14" s="366">
        <v>0.25</v>
      </c>
      <c r="F14" s="344">
        <v>0.5</v>
      </c>
      <c r="G14" s="772">
        <v>0.75</v>
      </c>
      <c r="H14" s="773">
        <v>1</v>
      </c>
      <c r="I14" s="774">
        <v>0.25</v>
      </c>
      <c r="J14" s="775">
        <v>0.5</v>
      </c>
      <c r="K14" s="801">
        <v>0.75</v>
      </c>
      <c r="L14" s="362"/>
      <c r="M14" s="1242"/>
      <c r="N14" s="1198"/>
      <c r="O14" s="1195"/>
      <c r="P14" s="1189"/>
      <c r="Q14" s="1192"/>
      <c r="R14" s="1195"/>
      <c r="S14" s="1195"/>
      <c r="T14" s="1189"/>
      <c r="U14" s="1192"/>
      <c r="V14" s="1195"/>
      <c r="W14" s="1195"/>
      <c r="X14" s="1189"/>
      <c r="Y14" s="1220"/>
      <c r="Z14" s="1210"/>
      <c r="AA14" s="1210"/>
      <c r="AB14" s="1213"/>
    </row>
    <row r="15" spans="2:28" s="336" customFormat="1" ht="60.75" hidden="1" customHeight="1" thickTop="1" thickBot="1" x14ac:dyDescent="0.25">
      <c r="B15" s="1249"/>
      <c r="C15" s="1252"/>
      <c r="D15" s="350" t="s">
        <v>214</v>
      </c>
      <c r="E15" s="366">
        <v>0.8</v>
      </c>
      <c r="F15" s="344">
        <v>0.8</v>
      </c>
      <c r="G15" s="772">
        <v>0.9</v>
      </c>
      <c r="H15" s="773">
        <v>1</v>
      </c>
      <c r="I15" s="774">
        <v>0.89</v>
      </c>
      <c r="J15" s="775">
        <v>0.95</v>
      </c>
      <c r="K15" s="801">
        <v>0.98</v>
      </c>
      <c r="L15" s="362"/>
      <c r="M15" s="1242"/>
      <c r="N15" s="1198"/>
      <c r="O15" s="1195"/>
      <c r="P15" s="1189"/>
      <c r="Q15" s="1192"/>
      <c r="R15" s="1195"/>
      <c r="S15" s="1195"/>
      <c r="T15" s="1189"/>
      <c r="U15" s="1192"/>
      <c r="V15" s="1195"/>
      <c r="W15" s="1195"/>
      <c r="X15" s="1189"/>
      <c r="Y15" s="1220"/>
      <c r="Z15" s="1210"/>
      <c r="AA15" s="1210"/>
      <c r="AB15" s="1213"/>
    </row>
    <row r="16" spans="2:28" s="336" customFormat="1" ht="60.75" hidden="1" customHeight="1" thickTop="1" thickBot="1" x14ac:dyDescent="0.25">
      <c r="B16" s="1249"/>
      <c r="C16" s="1252"/>
      <c r="D16" s="349" t="s">
        <v>215</v>
      </c>
      <c r="E16" s="366">
        <v>0.25</v>
      </c>
      <c r="F16" s="344">
        <v>0.5</v>
      </c>
      <c r="G16" s="772">
        <v>0.75</v>
      </c>
      <c r="H16" s="773">
        <v>1</v>
      </c>
      <c r="I16" s="774">
        <v>0.5</v>
      </c>
      <c r="J16" s="775">
        <v>1</v>
      </c>
      <c r="K16" s="801">
        <v>1</v>
      </c>
      <c r="L16" s="362"/>
      <c r="M16" s="1242"/>
      <c r="N16" s="1198"/>
      <c r="O16" s="1195"/>
      <c r="P16" s="1189"/>
      <c r="Q16" s="1192"/>
      <c r="R16" s="1195"/>
      <c r="S16" s="1195"/>
      <c r="T16" s="1189"/>
      <c r="U16" s="1192"/>
      <c r="V16" s="1195"/>
      <c r="W16" s="1195"/>
      <c r="X16" s="1189"/>
      <c r="Y16" s="1220"/>
      <c r="Z16" s="1210"/>
      <c r="AA16" s="1210"/>
      <c r="AB16" s="1213"/>
    </row>
    <row r="17" spans="2:31" s="336" customFormat="1" ht="60.75" hidden="1" customHeight="1" thickTop="1" thickBot="1" x14ac:dyDescent="0.25">
      <c r="B17" s="1249"/>
      <c r="C17" s="1252"/>
      <c r="D17" s="349" t="s">
        <v>216</v>
      </c>
      <c r="E17" s="366">
        <v>0.25</v>
      </c>
      <c r="F17" s="344">
        <v>0.5</v>
      </c>
      <c r="G17" s="772">
        <v>0.75</v>
      </c>
      <c r="H17" s="773">
        <v>1</v>
      </c>
      <c r="I17" s="774">
        <v>0.25</v>
      </c>
      <c r="J17" s="775">
        <v>0.5</v>
      </c>
      <c r="K17" s="801">
        <v>0.75</v>
      </c>
      <c r="L17" s="362"/>
      <c r="M17" s="1242"/>
      <c r="N17" s="1198"/>
      <c r="O17" s="1195"/>
      <c r="P17" s="1189"/>
      <c r="Q17" s="1192"/>
      <c r="R17" s="1195"/>
      <c r="S17" s="1195"/>
      <c r="T17" s="1189"/>
      <c r="U17" s="1192"/>
      <c r="V17" s="1195"/>
      <c r="W17" s="1195"/>
      <c r="X17" s="1189"/>
      <c r="Y17" s="1220"/>
      <c r="Z17" s="1210"/>
      <c r="AA17" s="1210"/>
      <c r="AB17" s="1213"/>
    </row>
    <row r="18" spans="2:31" s="336" customFormat="1" ht="60.75" hidden="1" customHeight="1" thickTop="1" thickBot="1" x14ac:dyDescent="0.25">
      <c r="B18" s="1249"/>
      <c r="C18" s="1252"/>
      <c r="D18" s="349" t="s">
        <v>217</v>
      </c>
      <c r="E18" s="366">
        <v>0</v>
      </c>
      <c r="F18" s="344">
        <v>0.5</v>
      </c>
      <c r="G18" s="772">
        <v>0.75</v>
      </c>
      <c r="H18" s="773">
        <v>1</v>
      </c>
      <c r="I18" s="776">
        <v>0</v>
      </c>
      <c r="J18" s="777">
        <v>0.35</v>
      </c>
      <c r="K18" s="801">
        <v>1</v>
      </c>
      <c r="L18" s="362"/>
      <c r="M18" s="1242"/>
      <c r="N18" s="1198"/>
      <c r="O18" s="1195"/>
      <c r="P18" s="1189"/>
      <c r="Q18" s="1192"/>
      <c r="R18" s="1195"/>
      <c r="S18" s="1195"/>
      <c r="T18" s="1189"/>
      <c r="U18" s="1192"/>
      <c r="V18" s="1195"/>
      <c r="W18" s="1195"/>
      <c r="X18" s="1189"/>
      <c r="Y18" s="1220"/>
      <c r="Z18" s="1210"/>
      <c r="AA18" s="1210"/>
      <c r="AB18" s="1213"/>
    </row>
    <row r="19" spans="2:31" s="336" customFormat="1" ht="60.75" hidden="1" customHeight="1" thickTop="1" thickBot="1" x14ac:dyDescent="0.25">
      <c r="B19" s="1249"/>
      <c r="C19" s="1252"/>
      <c r="D19" s="349" t="s">
        <v>218</v>
      </c>
      <c r="E19" s="366">
        <v>0.25</v>
      </c>
      <c r="F19" s="344">
        <v>0.5</v>
      </c>
      <c r="G19" s="772">
        <v>0.75</v>
      </c>
      <c r="H19" s="773">
        <v>1</v>
      </c>
      <c r="I19" s="774">
        <v>1</v>
      </c>
      <c r="J19" s="775">
        <v>0.75</v>
      </c>
      <c r="K19" s="801">
        <v>1</v>
      </c>
      <c r="L19" s="362"/>
      <c r="M19" s="1242"/>
      <c r="N19" s="1198"/>
      <c r="O19" s="1195"/>
      <c r="P19" s="1189"/>
      <c r="Q19" s="1192"/>
      <c r="R19" s="1195"/>
      <c r="S19" s="1195"/>
      <c r="T19" s="1189"/>
      <c r="U19" s="1192"/>
      <c r="V19" s="1195"/>
      <c r="W19" s="1195"/>
      <c r="X19" s="1189"/>
      <c r="Y19" s="1220"/>
      <c r="Z19" s="1210"/>
      <c r="AA19" s="1210"/>
      <c r="AB19" s="1213"/>
    </row>
    <row r="20" spans="2:31" s="336" customFormat="1" ht="75.75" hidden="1" customHeight="1" thickTop="1" thickBot="1" x14ac:dyDescent="0.25">
      <c r="B20" s="1250"/>
      <c r="C20" s="1253"/>
      <c r="D20" s="351" t="s">
        <v>219</v>
      </c>
      <c r="E20" s="492">
        <v>0.25</v>
      </c>
      <c r="F20" s="493">
        <v>0.5</v>
      </c>
      <c r="G20" s="778">
        <v>0.75</v>
      </c>
      <c r="H20" s="779">
        <v>1</v>
      </c>
      <c r="I20" s="780">
        <v>0.25</v>
      </c>
      <c r="J20" s="781">
        <v>0.5</v>
      </c>
      <c r="K20" s="832">
        <v>0.75</v>
      </c>
      <c r="L20" s="370"/>
      <c r="M20" s="1243"/>
      <c r="N20" s="1199"/>
      <c r="O20" s="1196"/>
      <c r="P20" s="1190"/>
      <c r="Q20" s="1193"/>
      <c r="R20" s="1196"/>
      <c r="S20" s="1196"/>
      <c r="T20" s="1190"/>
      <c r="U20" s="1193"/>
      <c r="V20" s="1196"/>
      <c r="W20" s="1196"/>
      <c r="X20" s="1190"/>
      <c r="Y20" s="1221"/>
      <c r="Z20" s="1223"/>
      <c r="AA20" s="1223"/>
      <c r="AB20" s="1225"/>
    </row>
    <row r="21" spans="2:31" s="336" customFormat="1" ht="60.75" customHeight="1" thickTop="1" x14ac:dyDescent="0.25">
      <c r="B21" s="1256" t="s">
        <v>220</v>
      </c>
      <c r="C21" s="1257">
        <v>0.25</v>
      </c>
      <c r="D21" s="352" t="s">
        <v>221</v>
      </c>
      <c r="E21" s="365">
        <v>0.1</v>
      </c>
      <c r="F21" s="343">
        <v>0.4</v>
      </c>
      <c r="G21" s="782">
        <v>0.7</v>
      </c>
      <c r="H21" s="783">
        <v>1</v>
      </c>
      <c r="I21" s="784">
        <v>0.1</v>
      </c>
      <c r="J21" s="785">
        <v>0.3</v>
      </c>
      <c r="K21" s="802">
        <v>0.4</v>
      </c>
      <c r="L21" s="360"/>
      <c r="M21" s="1244">
        <f>+AVERAGE(E21:E27)*$C$21</f>
        <v>2.4999999999999998E-2</v>
      </c>
      <c r="N21" s="1258">
        <f>+AVERAGE(F21:F27)*$C$21</f>
        <v>8.2142857142857156E-2</v>
      </c>
      <c r="O21" s="1194">
        <f>+AVERAGE(G21:G27)*$C$21</f>
        <v>0.16428571428571428</v>
      </c>
      <c r="P21" s="1188">
        <f>+AVERAGE(H21:H27)*$C$21</f>
        <v>0.25</v>
      </c>
      <c r="Q21" s="1191">
        <f>+(I21+I22+I23+I24+I26+I27)/6</f>
        <v>0.11666666666666665</v>
      </c>
      <c r="R21" s="1194">
        <f>+AVERAGE(J21:J27)</f>
        <v>0.31428571428571433</v>
      </c>
      <c r="S21" s="1194">
        <f>+AVERAGE(K21:K27)</f>
        <v>0.55714285714285716</v>
      </c>
      <c r="T21" s="1188" t="e">
        <f>+AVERAGE(L21:L27)</f>
        <v>#DIV/0!</v>
      </c>
      <c r="U21" s="1191">
        <f>+Q21*$C$21</f>
        <v>2.9166666666666664E-2</v>
      </c>
      <c r="V21" s="1194">
        <f>+R21*$C$21</f>
        <v>7.8571428571428584E-2</v>
      </c>
      <c r="W21" s="1194">
        <f>+S21*$C$21</f>
        <v>0.13928571428571429</v>
      </c>
      <c r="X21" s="1188" t="e">
        <f>+T21*$C$21</f>
        <v>#DIV/0!</v>
      </c>
      <c r="Y21" s="1287">
        <f>+U21/M21</f>
        <v>1.1666666666666667</v>
      </c>
      <c r="Z21" s="1222">
        <f>+V21/N21</f>
        <v>0.95652173913043481</v>
      </c>
      <c r="AA21" s="1222">
        <f>+W21/O21</f>
        <v>0.84782608695652173</v>
      </c>
      <c r="AB21" s="1224" t="e">
        <f>+X21/P21</f>
        <v>#DIV/0!</v>
      </c>
      <c r="AC21" s="1282" t="s">
        <v>322</v>
      </c>
      <c r="AD21" s="1283"/>
      <c r="AE21" s="1283"/>
    </row>
    <row r="22" spans="2:31" s="336" customFormat="1" ht="60.75" customHeight="1" x14ac:dyDescent="0.2">
      <c r="B22" s="1249"/>
      <c r="C22" s="1252"/>
      <c r="D22" s="353" t="s">
        <v>222</v>
      </c>
      <c r="E22" s="366">
        <v>0.2</v>
      </c>
      <c r="F22" s="344">
        <v>0.5</v>
      </c>
      <c r="G22" s="772">
        <v>0.7</v>
      </c>
      <c r="H22" s="773">
        <v>1</v>
      </c>
      <c r="I22" s="761">
        <v>0.2</v>
      </c>
      <c r="J22" s="775">
        <v>0.5</v>
      </c>
      <c r="K22" s="801">
        <v>0.8</v>
      </c>
      <c r="L22" s="362"/>
      <c r="M22" s="1245"/>
      <c r="N22" s="1259"/>
      <c r="O22" s="1195"/>
      <c r="P22" s="1189"/>
      <c r="Q22" s="1192"/>
      <c r="R22" s="1195"/>
      <c r="S22" s="1195"/>
      <c r="T22" s="1189"/>
      <c r="U22" s="1192"/>
      <c r="V22" s="1195"/>
      <c r="W22" s="1195"/>
      <c r="X22" s="1189"/>
      <c r="Y22" s="1220"/>
      <c r="Z22" s="1210"/>
      <c r="AA22" s="1210"/>
      <c r="AB22" s="1213"/>
    </row>
    <row r="23" spans="2:31" s="336" customFormat="1" ht="60.75" customHeight="1" x14ac:dyDescent="0.2">
      <c r="B23" s="1249"/>
      <c r="C23" s="1252"/>
      <c r="D23" s="353" t="s">
        <v>223</v>
      </c>
      <c r="E23" s="366">
        <v>0.1</v>
      </c>
      <c r="F23" s="344">
        <v>0.3</v>
      </c>
      <c r="G23" s="772">
        <v>0.7</v>
      </c>
      <c r="H23" s="773">
        <v>1</v>
      </c>
      <c r="I23" s="761">
        <v>0.1</v>
      </c>
      <c r="J23" s="777">
        <v>0.2</v>
      </c>
      <c r="K23" s="800">
        <v>0.5</v>
      </c>
      <c r="L23" s="362"/>
      <c r="M23" s="1245"/>
      <c r="N23" s="1259"/>
      <c r="O23" s="1195"/>
      <c r="P23" s="1189"/>
      <c r="Q23" s="1192"/>
      <c r="R23" s="1195"/>
      <c r="S23" s="1195"/>
      <c r="T23" s="1189"/>
      <c r="U23" s="1192"/>
      <c r="V23" s="1195"/>
      <c r="W23" s="1195"/>
      <c r="X23" s="1189"/>
      <c r="Y23" s="1220"/>
      <c r="Z23" s="1210"/>
      <c r="AA23" s="1210"/>
      <c r="AB23" s="1213"/>
    </row>
    <row r="24" spans="2:31" s="336" customFormat="1" ht="60.75" customHeight="1" x14ac:dyDescent="0.2">
      <c r="B24" s="1249"/>
      <c r="C24" s="1252"/>
      <c r="D24" s="353" t="s">
        <v>224</v>
      </c>
      <c r="E24" s="366">
        <v>0.1</v>
      </c>
      <c r="F24" s="344">
        <v>0.3</v>
      </c>
      <c r="G24" s="772">
        <v>0.7</v>
      </c>
      <c r="H24" s="773">
        <v>1</v>
      </c>
      <c r="I24" s="761">
        <v>0.1</v>
      </c>
      <c r="J24" s="775">
        <v>0.3</v>
      </c>
      <c r="K24" s="800">
        <v>0.5</v>
      </c>
      <c r="L24" s="362"/>
      <c r="M24" s="1245"/>
      <c r="N24" s="1259"/>
      <c r="O24" s="1195"/>
      <c r="P24" s="1189"/>
      <c r="Q24" s="1192"/>
      <c r="R24" s="1195"/>
      <c r="S24" s="1195"/>
      <c r="T24" s="1189"/>
      <c r="U24" s="1192"/>
      <c r="V24" s="1195"/>
      <c r="W24" s="1195"/>
      <c r="X24" s="1189"/>
      <c r="Y24" s="1220"/>
      <c r="Z24" s="1210"/>
      <c r="AA24" s="1210"/>
      <c r="AB24" s="1213"/>
    </row>
    <row r="25" spans="2:31" s="336" customFormat="1" ht="60.75" customHeight="1" x14ac:dyDescent="0.2">
      <c r="B25" s="1249"/>
      <c r="C25" s="1252"/>
      <c r="D25" s="353" t="s">
        <v>225</v>
      </c>
      <c r="E25" s="366">
        <v>0</v>
      </c>
      <c r="F25" s="344">
        <v>0.1</v>
      </c>
      <c r="G25" s="772">
        <v>0.4</v>
      </c>
      <c r="H25" s="773">
        <v>1</v>
      </c>
      <c r="I25" s="787">
        <v>0</v>
      </c>
      <c r="J25" s="775">
        <v>0.1</v>
      </c>
      <c r="K25" s="801">
        <v>0.4</v>
      </c>
      <c r="L25" s="362"/>
      <c r="M25" s="1245"/>
      <c r="N25" s="1259"/>
      <c r="O25" s="1195"/>
      <c r="P25" s="1189"/>
      <c r="Q25" s="1192"/>
      <c r="R25" s="1195"/>
      <c r="S25" s="1195"/>
      <c r="T25" s="1189"/>
      <c r="U25" s="1192"/>
      <c r="V25" s="1195"/>
      <c r="W25" s="1195"/>
      <c r="X25" s="1189"/>
      <c r="Y25" s="1220"/>
      <c r="Z25" s="1210"/>
      <c r="AA25" s="1210"/>
      <c r="AB25" s="1213"/>
    </row>
    <row r="26" spans="2:31" s="336" customFormat="1" ht="60.75" customHeight="1" x14ac:dyDescent="0.2">
      <c r="B26" s="1249"/>
      <c r="C26" s="1252"/>
      <c r="D26" s="353" t="s">
        <v>226</v>
      </c>
      <c r="E26" s="366">
        <v>0.1</v>
      </c>
      <c r="F26" s="344">
        <v>0.3</v>
      </c>
      <c r="G26" s="772">
        <v>0.7</v>
      </c>
      <c r="H26" s="773">
        <v>1</v>
      </c>
      <c r="I26" s="761">
        <v>0.1</v>
      </c>
      <c r="J26" s="775">
        <v>0.3</v>
      </c>
      <c r="K26" s="800">
        <v>0.65</v>
      </c>
      <c r="L26" s="362"/>
      <c r="M26" s="1245"/>
      <c r="N26" s="1259"/>
      <c r="O26" s="1195"/>
      <c r="P26" s="1189"/>
      <c r="Q26" s="1192"/>
      <c r="R26" s="1195"/>
      <c r="S26" s="1195"/>
      <c r="T26" s="1189"/>
      <c r="U26" s="1192"/>
      <c r="V26" s="1195"/>
      <c r="W26" s="1195"/>
      <c r="X26" s="1189"/>
      <c r="Y26" s="1220"/>
      <c r="Z26" s="1210"/>
      <c r="AA26" s="1210"/>
      <c r="AB26" s="1213"/>
    </row>
    <row r="27" spans="2:31" s="336" customFormat="1" ht="60.75" customHeight="1" thickBot="1" x14ac:dyDescent="0.25">
      <c r="B27" s="1250"/>
      <c r="C27" s="1253"/>
      <c r="D27" s="354" t="s">
        <v>227</v>
      </c>
      <c r="E27" s="367">
        <v>0.1</v>
      </c>
      <c r="F27" s="345">
        <v>0.4</v>
      </c>
      <c r="G27" s="788">
        <v>0.7</v>
      </c>
      <c r="H27" s="789">
        <v>1</v>
      </c>
      <c r="I27" s="765">
        <v>0.1</v>
      </c>
      <c r="J27" s="790">
        <v>0.5</v>
      </c>
      <c r="K27" s="803">
        <v>0.65</v>
      </c>
      <c r="L27" s="364"/>
      <c r="M27" s="1246"/>
      <c r="N27" s="1260"/>
      <c r="O27" s="1196"/>
      <c r="P27" s="1190"/>
      <c r="Q27" s="1193"/>
      <c r="R27" s="1196"/>
      <c r="S27" s="1196"/>
      <c r="T27" s="1190"/>
      <c r="U27" s="1193"/>
      <c r="V27" s="1196"/>
      <c r="W27" s="1196"/>
      <c r="X27" s="1190"/>
      <c r="Y27" s="1221"/>
      <c r="Z27" s="1223"/>
      <c r="AA27" s="1223"/>
      <c r="AB27" s="1225"/>
    </row>
    <row r="28" spans="2:31" s="336" customFormat="1" ht="60.75" customHeight="1" x14ac:dyDescent="0.2">
      <c r="B28" s="1232" t="s">
        <v>228</v>
      </c>
      <c r="C28" s="1235">
        <v>0.1</v>
      </c>
      <c r="D28" s="355" t="s">
        <v>229</v>
      </c>
      <c r="E28" s="491">
        <v>0.25</v>
      </c>
      <c r="F28" s="340">
        <v>0.5</v>
      </c>
      <c r="G28" s="771">
        <v>0.75</v>
      </c>
      <c r="H28" s="791">
        <v>1</v>
      </c>
      <c r="I28" s="759">
        <v>0.25</v>
      </c>
      <c r="J28" s="792">
        <v>0.5</v>
      </c>
      <c r="K28" s="797">
        <v>0.75</v>
      </c>
      <c r="L28" s="368"/>
      <c r="M28" s="1241">
        <f>+AVERAGE(E28:E30)*$C$28</f>
        <v>3.3333333333333333E-2</v>
      </c>
      <c r="N28" s="1197">
        <f>+AVERAGE(F28:F30)*$C$28</f>
        <v>6.6666666666666666E-2</v>
      </c>
      <c r="O28" s="1194">
        <f>+AVERAGE(G28:G30)*$C$28</f>
        <v>8.3333333333333343E-2</v>
      </c>
      <c r="P28" s="1188">
        <f>+AVERAGE(H28:H30)*$C$28</f>
        <v>0.1</v>
      </c>
      <c r="Q28" s="1191">
        <f>+(I28+I30)/2</f>
        <v>0.25</v>
      </c>
      <c r="R28" s="1194">
        <f>+AVERAGE(J28:J30)</f>
        <v>0.66666666666666663</v>
      </c>
      <c r="S28" s="1194">
        <f>+AVERAGE(K28:K30)</f>
        <v>0.83333333333333337</v>
      </c>
      <c r="T28" s="1188" t="e">
        <f>+AVERAGE(L28:L30)</f>
        <v>#DIV/0!</v>
      </c>
      <c r="U28" s="1191">
        <f>+Q28*$C$28</f>
        <v>2.5000000000000001E-2</v>
      </c>
      <c r="V28" s="1194">
        <f>+R28*$C$28</f>
        <v>6.6666666666666666E-2</v>
      </c>
      <c r="W28" s="1194">
        <f>+S28*$C$28</f>
        <v>8.3333333333333343E-2</v>
      </c>
      <c r="X28" s="1188" t="e">
        <f>+T28*$C$28</f>
        <v>#DIV/0!</v>
      </c>
      <c r="Y28" s="1287">
        <f>+U28/M28</f>
        <v>0.75</v>
      </c>
      <c r="Z28" s="1222">
        <f>+V28/N28</f>
        <v>1</v>
      </c>
      <c r="AA28" s="1222">
        <f>+W28/O28</f>
        <v>1</v>
      </c>
      <c r="AB28" s="1224" t="e">
        <f>+X28/P28</f>
        <v>#DIV/0!</v>
      </c>
    </row>
    <row r="29" spans="2:31" s="336" customFormat="1" ht="60.75" customHeight="1" x14ac:dyDescent="0.2">
      <c r="B29" s="1233"/>
      <c r="C29" s="1236"/>
      <c r="D29" s="356" t="s">
        <v>230</v>
      </c>
      <c r="E29" s="361">
        <v>0.5</v>
      </c>
      <c r="F29" s="335">
        <v>1</v>
      </c>
      <c r="G29" s="757">
        <v>1</v>
      </c>
      <c r="H29" s="758">
        <v>1</v>
      </c>
      <c r="I29" s="787">
        <v>0</v>
      </c>
      <c r="J29" s="762">
        <v>1</v>
      </c>
      <c r="K29" s="801">
        <v>1</v>
      </c>
      <c r="L29" s="362"/>
      <c r="M29" s="1242"/>
      <c r="N29" s="1198"/>
      <c r="O29" s="1195"/>
      <c r="P29" s="1189"/>
      <c r="Q29" s="1192"/>
      <c r="R29" s="1195"/>
      <c r="S29" s="1195"/>
      <c r="T29" s="1189"/>
      <c r="U29" s="1192"/>
      <c r="V29" s="1195"/>
      <c r="W29" s="1195"/>
      <c r="X29" s="1189"/>
      <c r="Y29" s="1220"/>
      <c r="Z29" s="1210"/>
      <c r="AA29" s="1210"/>
      <c r="AB29" s="1213"/>
    </row>
    <row r="30" spans="2:31" s="336" customFormat="1" ht="60.75" customHeight="1" thickBot="1" x14ac:dyDescent="0.25">
      <c r="B30" s="1234"/>
      <c r="C30" s="1237"/>
      <c r="D30" s="357" t="s">
        <v>231</v>
      </c>
      <c r="E30" s="363">
        <v>0.25</v>
      </c>
      <c r="F30" s="342">
        <v>0.5</v>
      </c>
      <c r="G30" s="763">
        <v>0.75</v>
      </c>
      <c r="H30" s="764">
        <v>1</v>
      </c>
      <c r="I30" s="765">
        <v>0.25</v>
      </c>
      <c r="J30" s="766">
        <v>0.5</v>
      </c>
      <c r="K30" s="831">
        <v>0.75</v>
      </c>
      <c r="L30" s="364"/>
      <c r="M30" s="1247"/>
      <c r="N30" s="1199"/>
      <c r="O30" s="1196"/>
      <c r="P30" s="1190"/>
      <c r="Q30" s="1193"/>
      <c r="R30" s="1196"/>
      <c r="S30" s="1196"/>
      <c r="T30" s="1190"/>
      <c r="U30" s="1193"/>
      <c r="V30" s="1196"/>
      <c r="W30" s="1196"/>
      <c r="X30" s="1190"/>
      <c r="Y30" s="1221"/>
      <c r="Z30" s="1223"/>
      <c r="AA30" s="1223"/>
      <c r="AB30" s="1225"/>
    </row>
    <row r="31" spans="2:31" s="336" customFormat="1" ht="75" customHeight="1" x14ac:dyDescent="0.2">
      <c r="B31" s="1232" t="s">
        <v>237</v>
      </c>
      <c r="C31" s="1235">
        <v>0.15</v>
      </c>
      <c r="D31" s="371" t="s">
        <v>238</v>
      </c>
      <c r="E31" s="359">
        <v>1</v>
      </c>
      <c r="F31" s="341">
        <v>1</v>
      </c>
      <c r="G31" s="786">
        <v>1</v>
      </c>
      <c r="H31" s="793">
        <v>1</v>
      </c>
      <c r="I31" s="794">
        <v>1</v>
      </c>
      <c r="J31" s="795">
        <v>1</v>
      </c>
      <c r="K31" s="795">
        <v>1</v>
      </c>
      <c r="L31" s="360"/>
      <c r="M31" s="1280">
        <f>+AVERAGE(E31:E37)*$C$31</f>
        <v>0.10928571428571428</v>
      </c>
      <c r="N31" s="1197">
        <f>+AVERAGE(F31:F39)*$C$31</f>
        <v>0.15</v>
      </c>
      <c r="O31" s="1194">
        <f>+AVERAGE(G31:G39)*$C$31</f>
        <v>0.12333333333333334</v>
      </c>
      <c r="P31" s="1188">
        <f>+AVERAGE(H31:H39)*$C$31</f>
        <v>0.15</v>
      </c>
      <c r="Q31" s="1191">
        <f>+(I31+I32+I33+I34+I35+I36+I37)/7</f>
        <v>0.77857142857142858</v>
      </c>
      <c r="R31" s="1194">
        <f>+AVERAGE(J31:J63)</f>
        <v>0.8136363636363636</v>
      </c>
      <c r="S31" s="1194">
        <f>+AVERAGE(K31:K63)</f>
        <v>0.7153846153846154</v>
      </c>
      <c r="T31" s="1188" t="e">
        <f>+AVERAGE(L31:L63)</f>
        <v>#DIV/0!</v>
      </c>
      <c r="U31" s="1191">
        <f>+Q31*$C$31</f>
        <v>0.11678571428571428</v>
      </c>
      <c r="V31" s="1194">
        <f>+R31*C31</f>
        <v>0.12204545454545454</v>
      </c>
      <c r="W31" s="1284">
        <f>+S31*$C$7</f>
        <v>0.17884615384615385</v>
      </c>
      <c r="X31" s="1285" t="e">
        <f>+T31*$C$7</f>
        <v>#DIV/0!</v>
      </c>
      <c r="Y31" s="1286">
        <f>+U31/M31</f>
        <v>1.0686274509803921</v>
      </c>
      <c r="Z31" s="1222">
        <f>+V31/N31</f>
        <v>0.8136363636363636</v>
      </c>
      <c r="AA31" s="1222">
        <f>+W31/O31</f>
        <v>1.4501039501039501</v>
      </c>
      <c r="AB31" s="1224" t="e">
        <f>+X31/P31</f>
        <v>#DIV/0!</v>
      </c>
    </row>
    <row r="32" spans="2:31" s="336" customFormat="1" ht="60.75" customHeight="1" x14ac:dyDescent="0.2">
      <c r="B32" s="1233"/>
      <c r="C32" s="1236"/>
      <c r="D32" s="356" t="s">
        <v>239</v>
      </c>
      <c r="E32" s="361">
        <v>1</v>
      </c>
      <c r="F32" s="340">
        <v>1</v>
      </c>
      <c r="G32" s="771">
        <v>1</v>
      </c>
      <c r="H32" s="791">
        <v>1</v>
      </c>
      <c r="I32" s="796">
        <v>1</v>
      </c>
      <c r="J32" s="797">
        <v>1</v>
      </c>
      <c r="K32" s="797">
        <v>1</v>
      </c>
      <c r="L32" s="362"/>
      <c r="M32" s="1242"/>
      <c r="N32" s="1198"/>
      <c r="O32" s="1195"/>
      <c r="P32" s="1189"/>
      <c r="Q32" s="1192"/>
      <c r="R32" s="1195"/>
      <c r="S32" s="1195"/>
      <c r="T32" s="1189"/>
      <c r="U32" s="1192"/>
      <c r="V32" s="1195"/>
      <c r="W32" s="1201"/>
      <c r="X32" s="1204"/>
      <c r="Y32" s="1207"/>
      <c r="Z32" s="1210"/>
      <c r="AA32" s="1210"/>
      <c r="AB32" s="1213"/>
    </row>
    <row r="33" spans="2:28" s="336" customFormat="1" ht="45" customHeight="1" x14ac:dyDescent="0.2">
      <c r="B33" s="1233"/>
      <c r="C33" s="1236"/>
      <c r="D33" s="358" t="s">
        <v>240</v>
      </c>
      <c r="E33" s="361">
        <v>1</v>
      </c>
      <c r="F33" s="340">
        <v>1</v>
      </c>
      <c r="G33" s="771">
        <v>1</v>
      </c>
      <c r="H33" s="791">
        <v>1</v>
      </c>
      <c r="I33" s="796">
        <v>1</v>
      </c>
      <c r="J33" s="797">
        <v>1</v>
      </c>
      <c r="K33" s="797">
        <v>1</v>
      </c>
      <c r="L33" s="362"/>
      <c r="M33" s="1242"/>
      <c r="N33" s="1198"/>
      <c r="O33" s="1195"/>
      <c r="P33" s="1189"/>
      <c r="Q33" s="1192"/>
      <c r="R33" s="1195"/>
      <c r="S33" s="1195"/>
      <c r="T33" s="1189"/>
      <c r="U33" s="1192"/>
      <c r="V33" s="1195"/>
      <c r="W33" s="1201"/>
      <c r="X33" s="1204"/>
      <c r="Y33" s="1207"/>
      <c r="Z33" s="1210"/>
      <c r="AA33" s="1210"/>
      <c r="AB33" s="1213"/>
    </row>
    <row r="34" spans="2:28" s="336" customFormat="1" ht="45.75" customHeight="1" x14ac:dyDescent="0.2">
      <c r="B34" s="1233"/>
      <c r="C34" s="1236"/>
      <c r="D34" s="347" t="s">
        <v>241</v>
      </c>
      <c r="E34" s="361">
        <v>0.6</v>
      </c>
      <c r="F34" s="340">
        <v>1</v>
      </c>
      <c r="G34" s="771">
        <v>1</v>
      </c>
      <c r="H34" s="791">
        <v>1</v>
      </c>
      <c r="I34" s="796">
        <v>0.8</v>
      </c>
      <c r="J34" s="797">
        <v>1</v>
      </c>
      <c r="K34" s="797">
        <v>1</v>
      </c>
      <c r="L34" s="362"/>
      <c r="M34" s="1242"/>
      <c r="N34" s="1198"/>
      <c r="O34" s="1195"/>
      <c r="P34" s="1189"/>
      <c r="Q34" s="1192"/>
      <c r="R34" s="1195"/>
      <c r="S34" s="1195"/>
      <c r="T34" s="1189"/>
      <c r="U34" s="1192"/>
      <c r="V34" s="1195"/>
      <c r="W34" s="1201"/>
      <c r="X34" s="1204"/>
      <c r="Y34" s="1207"/>
      <c r="Z34" s="1210"/>
      <c r="AA34" s="1210"/>
      <c r="AB34" s="1213"/>
    </row>
    <row r="35" spans="2:28" s="336" customFormat="1" ht="51" customHeight="1" x14ac:dyDescent="0.2">
      <c r="B35" s="1233"/>
      <c r="C35" s="1236"/>
      <c r="D35" s="347" t="s">
        <v>242</v>
      </c>
      <c r="E35" s="361">
        <v>0.6</v>
      </c>
      <c r="F35" s="340">
        <v>1</v>
      </c>
      <c r="G35" s="771">
        <v>1</v>
      </c>
      <c r="H35" s="791">
        <v>1</v>
      </c>
      <c r="I35" s="796">
        <v>0.8</v>
      </c>
      <c r="J35" s="797">
        <v>1</v>
      </c>
      <c r="K35" s="797">
        <v>1</v>
      </c>
      <c r="L35" s="362"/>
      <c r="M35" s="1242"/>
      <c r="N35" s="1198"/>
      <c r="O35" s="1195"/>
      <c r="P35" s="1189"/>
      <c r="Q35" s="1192"/>
      <c r="R35" s="1195"/>
      <c r="S35" s="1195"/>
      <c r="T35" s="1189"/>
      <c r="U35" s="1192"/>
      <c r="V35" s="1195"/>
      <c r="W35" s="1201"/>
      <c r="X35" s="1204"/>
      <c r="Y35" s="1207"/>
      <c r="Z35" s="1210"/>
      <c r="AA35" s="1210"/>
      <c r="AB35" s="1213"/>
    </row>
    <row r="36" spans="2:28" s="336" customFormat="1" ht="60.75" customHeight="1" x14ac:dyDescent="0.2">
      <c r="B36" s="1233"/>
      <c r="C36" s="1236"/>
      <c r="D36" s="347" t="s">
        <v>243</v>
      </c>
      <c r="E36" s="361">
        <v>0.1</v>
      </c>
      <c r="F36" s="340">
        <v>1</v>
      </c>
      <c r="G36" s="771">
        <v>1</v>
      </c>
      <c r="H36" s="791">
        <v>1</v>
      </c>
      <c r="I36" s="796">
        <v>0.7</v>
      </c>
      <c r="J36" s="797">
        <v>1</v>
      </c>
      <c r="K36" s="797">
        <v>1</v>
      </c>
      <c r="L36" s="362"/>
      <c r="M36" s="1242"/>
      <c r="N36" s="1198"/>
      <c r="O36" s="1195"/>
      <c r="P36" s="1189"/>
      <c r="Q36" s="1192"/>
      <c r="R36" s="1195"/>
      <c r="S36" s="1195"/>
      <c r="T36" s="1189"/>
      <c r="U36" s="1192"/>
      <c r="V36" s="1195"/>
      <c r="W36" s="1201"/>
      <c r="X36" s="1204"/>
      <c r="Y36" s="1207"/>
      <c r="Z36" s="1210"/>
      <c r="AA36" s="1210"/>
      <c r="AB36" s="1213"/>
    </row>
    <row r="37" spans="2:28" s="336" customFormat="1" ht="40.5" customHeight="1" x14ac:dyDescent="0.2">
      <c r="B37" s="1233"/>
      <c r="C37" s="1236"/>
      <c r="D37" s="347" t="s">
        <v>244</v>
      </c>
      <c r="E37" s="361">
        <v>0.8</v>
      </c>
      <c r="F37" s="340">
        <v>1</v>
      </c>
      <c r="G37" s="771">
        <v>1</v>
      </c>
      <c r="H37" s="791">
        <v>1</v>
      </c>
      <c r="I37" s="798">
        <v>0.15</v>
      </c>
      <c r="J37" s="760">
        <v>0.95</v>
      </c>
      <c r="K37" s="797">
        <v>1</v>
      </c>
      <c r="L37" s="362"/>
      <c r="M37" s="1242"/>
      <c r="N37" s="1198"/>
      <c r="O37" s="1195"/>
      <c r="P37" s="1189"/>
      <c r="Q37" s="1192"/>
      <c r="R37" s="1195"/>
      <c r="S37" s="1195"/>
      <c r="T37" s="1189"/>
      <c r="U37" s="1192"/>
      <c r="V37" s="1195"/>
      <c r="W37" s="1201"/>
      <c r="X37" s="1204"/>
      <c r="Y37" s="1207"/>
      <c r="Z37" s="1210"/>
      <c r="AA37" s="1210"/>
      <c r="AB37" s="1213"/>
    </row>
    <row r="38" spans="2:28" s="336" customFormat="1" ht="50.25" customHeight="1" x14ac:dyDescent="0.2">
      <c r="B38" s="1233"/>
      <c r="C38" s="1236"/>
      <c r="D38" s="347" t="s">
        <v>245</v>
      </c>
      <c r="E38" s="361">
        <v>0</v>
      </c>
      <c r="F38" s="335"/>
      <c r="G38" s="757">
        <v>0.2</v>
      </c>
      <c r="H38" s="758">
        <v>1</v>
      </c>
      <c r="I38" s="787">
        <v>0</v>
      </c>
      <c r="J38" s="799"/>
      <c r="K38" s="800">
        <v>0.3</v>
      </c>
      <c r="L38" s="362"/>
      <c r="M38" s="1242"/>
      <c r="N38" s="1198"/>
      <c r="O38" s="1195"/>
      <c r="P38" s="1189"/>
      <c r="Q38" s="1192"/>
      <c r="R38" s="1195"/>
      <c r="S38" s="1195"/>
      <c r="T38" s="1189"/>
      <c r="U38" s="1192"/>
      <c r="V38" s="1195"/>
      <c r="W38" s="1201"/>
      <c r="X38" s="1204"/>
      <c r="Y38" s="1207"/>
      <c r="Z38" s="1210"/>
      <c r="AA38" s="1210"/>
      <c r="AB38" s="1213"/>
    </row>
    <row r="39" spans="2:28" s="336" customFormat="1" ht="60.75" customHeight="1" thickBot="1" x14ac:dyDescent="0.25">
      <c r="B39" s="1233"/>
      <c r="C39" s="1236"/>
      <c r="D39" s="834" t="s">
        <v>246</v>
      </c>
      <c r="E39" s="835">
        <v>0</v>
      </c>
      <c r="F39" s="836"/>
      <c r="G39" s="837">
        <v>0.2</v>
      </c>
      <c r="H39" s="838">
        <v>1</v>
      </c>
      <c r="I39" s="839">
        <v>0</v>
      </c>
      <c r="J39" s="840"/>
      <c r="K39" s="841">
        <v>0</v>
      </c>
      <c r="L39" s="370"/>
      <c r="M39" s="1243"/>
      <c r="N39" s="1281"/>
      <c r="O39" s="1279"/>
      <c r="P39" s="1277"/>
      <c r="Q39" s="1278"/>
      <c r="R39" s="1279"/>
      <c r="S39" s="1279"/>
      <c r="T39" s="1277"/>
      <c r="U39" s="1278"/>
      <c r="V39" s="1279"/>
      <c r="W39" s="1201"/>
      <c r="X39" s="1204"/>
      <c r="Y39" s="1207"/>
      <c r="Z39" s="1211"/>
      <c r="AA39" s="1211"/>
      <c r="AB39" s="1214"/>
    </row>
    <row r="40" spans="2:28" s="337" customFormat="1" ht="26.25" customHeight="1" thickTop="1" thickBot="1" x14ac:dyDescent="0.3">
      <c r="B40" s="842" t="s">
        <v>12</v>
      </c>
      <c r="C40" s="843">
        <f>SUM(C7:C39)</f>
        <v>1</v>
      </c>
      <c r="D40" s="844"/>
      <c r="E40" s="845"/>
      <c r="F40" s="846"/>
      <c r="G40" s="846"/>
      <c r="H40" s="847"/>
      <c r="I40" s="848"/>
      <c r="J40" s="849"/>
      <c r="K40" s="850"/>
      <c r="L40" s="851"/>
      <c r="M40" s="845">
        <f>SUM(M7:M39)</f>
        <v>0.40636904761904763</v>
      </c>
      <c r="N40" s="846">
        <f>SUM(N7:N39)</f>
        <v>0.65943452380952383</v>
      </c>
      <c r="O40" s="846">
        <f>SUM(O7:O39)</f>
        <v>0.79970238095238089</v>
      </c>
      <c r="P40" s="852">
        <f>SUM(P7:P39)</f>
        <v>1</v>
      </c>
      <c r="Q40" s="853"/>
      <c r="R40" s="854"/>
      <c r="S40" s="854"/>
      <c r="T40" s="855"/>
      <c r="U40" s="845">
        <f>SUM(U7:U39)</f>
        <v>0.44220238095238096</v>
      </c>
      <c r="V40" s="846">
        <f>SUM(V7:V39)</f>
        <v>0.6341585497835498</v>
      </c>
      <c r="W40" s="846">
        <f>SUM(W7:W39)</f>
        <v>0.83846520146520154</v>
      </c>
      <c r="X40" s="855" t="e">
        <f>SUM(X7:X39)</f>
        <v>#DIV/0!</v>
      </c>
      <c r="Y40" s="856">
        <f>+U40/M40</f>
        <v>1.0881792881206973</v>
      </c>
      <c r="Z40" s="857">
        <f>+V40/N40</f>
        <v>0.96167022939600455</v>
      </c>
      <c r="AA40" s="857">
        <f>+W40/O40</f>
        <v>1.0484715582147663</v>
      </c>
      <c r="AB40" s="858" t="e">
        <f>+X40/P40</f>
        <v>#DIV/0!</v>
      </c>
    </row>
    <row r="41" spans="2:28" ht="15" thickTop="1" x14ac:dyDescent="0.2"/>
    <row r="42" spans="2:28" ht="15" x14ac:dyDescent="0.25">
      <c r="E42" s="506" t="s">
        <v>129</v>
      </c>
      <c r="H42" s="507"/>
      <c r="I42" s="512">
        <f>7/28</f>
        <v>0.25</v>
      </c>
      <c r="J42" s="530">
        <f>5/31</f>
        <v>0.16129032258064516</v>
      </c>
      <c r="K42" s="804">
        <f>4/33</f>
        <v>0.12121212121212122</v>
      </c>
    </row>
    <row r="43" spans="2:28" ht="15" x14ac:dyDescent="0.25">
      <c r="E43" s="339" t="s">
        <v>130</v>
      </c>
      <c r="H43" s="508"/>
      <c r="I43" s="513">
        <f>19/28</f>
        <v>0.6785714285714286</v>
      </c>
      <c r="J43" s="531">
        <f>20/31</f>
        <v>0.64516129032258063</v>
      </c>
      <c r="K43" s="805">
        <f>20/33</f>
        <v>0.60606060606060608</v>
      </c>
    </row>
    <row r="44" spans="2:28" ht="15" x14ac:dyDescent="0.25">
      <c r="E44" s="504" t="s">
        <v>131</v>
      </c>
      <c r="H44" s="505"/>
      <c r="I44" s="514">
        <f>2/28</f>
        <v>7.1428571428571425E-2</v>
      </c>
      <c r="J44" s="532">
        <f>6/31</f>
        <v>0.19354838709677419</v>
      </c>
      <c r="K44" s="806">
        <f>9/33</f>
        <v>0.27272727272727271</v>
      </c>
    </row>
    <row r="45" spans="2:28" ht="15" x14ac:dyDescent="0.25">
      <c r="E45" s="509" t="s">
        <v>12</v>
      </c>
      <c r="F45" s="336"/>
      <c r="G45" s="336"/>
      <c r="I45" s="510">
        <f>SUM(I42:I44)</f>
        <v>1</v>
      </c>
      <c r="J45" s="533">
        <f>SUM(J42:J44)</f>
        <v>1</v>
      </c>
      <c r="K45" s="807">
        <f>SUM(K42:K44)</f>
        <v>1</v>
      </c>
    </row>
    <row r="46" spans="2:28" x14ac:dyDescent="0.2">
      <c r="J46" s="338"/>
    </row>
  </sheetData>
  <mergeCells count="101">
    <mergeCell ref="AC21:AE21"/>
    <mergeCell ref="Z31:Z39"/>
    <mergeCell ref="AA31:AA39"/>
    <mergeCell ref="AB31:AB39"/>
    <mergeCell ref="U31:U39"/>
    <mergeCell ref="V31:V39"/>
    <mergeCell ref="W31:W39"/>
    <mergeCell ref="X31:X39"/>
    <mergeCell ref="Y31:Y39"/>
    <mergeCell ref="W21:W27"/>
    <mergeCell ref="X21:X27"/>
    <mergeCell ref="Y21:Y27"/>
    <mergeCell ref="Z21:Z27"/>
    <mergeCell ref="AA21:AA27"/>
    <mergeCell ref="AB21:AB27"/>
    <mergeCell ref="W28:W30"/>
    <mergeCell ref="X28:X30"/>
    <mergeCell ref="Y28:Y30"/>
    <mergeCell ref="Z28:Z30"/>
    <mergeCell ref="AA28:AA30"/>
    <mergeCell ref="AB28:AB30"/>
    <mergeCell ref="P31:P39"/>
    <mergeCell ref="Q31:Q39"/>
    <mergeCell ref="R31:R39"/>
    <mergeCell ref="S31:S39"/>
    <mergeCell ref="T31:T39"/>
    <mergeCell ref="B31:B39"/>
    <mergeCell ref="C31:C39"/>
    <mergeCell ref="M31:M39"/>
    <mergeCell ref="N31:N39"/>
    <mergeCell ref="O31:O39"/>
    <mergeCell ref="B3:AB3"/>
    <mergeCell ref="B5:B6"/>
    <mergeCell ref="C5:C6"/>
    <mergeCell ref="D5:D6"/>
    <mergeCell ref="E5:H5"/>
    <mergeCell ref="I5:L5"/>
    <mergeCell ref="M5:P5"/>
    <mergeCell ref="Q5:T5"/>
    <mergeCell ref="U5:X5"/>
    <mergeCell ref="Y5:AB5"/>
    <mergeCell ref="Q7:Q10"/>
    <mergeCell ref="R7:R10"/>
    <mergeCell ref="S7:S10"/>
    <mergeCell ref="T7:T10"/>
    <mergeCell ref="U7:U10"/>
    <mergeCell ref="V7:V10"/>
    <mergeCell ref="B28:B30"/>
    <mergeCell ref="C28:C30"/>
    <mergeCell ref="M7:M10"/>
    <mergeCell ref="M11:M20"/>
    <mergeCell ref="M21:M27"/>
    <mergeCell ref="M28:M30"/>
    <mergeCell ref="B7:B10"/>
    <mergeCell ref="C7:C10"/>
    <mergeCell ref="C11:C20"/>
    <mergeCell ref="B11:B20"/>
    <mergeCell ref="B21:B27"/>
    <mergeCell ref="C21:C27"/>
    <mergeCell ref="N21:N27"/>
    <mergeCell ref="O21:O27"/>
    <mergeCell ref="P21:P27"/>
    <mergeCell ref="Q21:Q27"/>
    <mergeCell ref="R21:R27"/>
    <mergeCell ref="S21:S27"/>
    <mergeCell ref="W7:W10"/>
    <mergeCell ref="X7:X10"/>
    <mergeCell ref="Y7:Y10"/>
    <mergeCell ref="Z7:Z10"/>
    <mergeCell ref="AA7:AA10"/>
    <mergeCell ref="AB7:AB10"/>
    <mergeCell ref="N11:N20"/>
    <mergeCell ref="O11:O20"/>
    <mergeCell ref="P11:P20"/>
    <mergeCell ref="Q11:Q20"/>
    <mergeCell ref="R11:R20"/>
    <mergeCell ref="S11:S20"/>
    <mergeCell ref="T11:T20"/>
    <mergeCell ref="U11:U20"/>
    <mergeCell ref="V11:V20"/>
    <mergeCell ref="W11:W20"/>
    <mergeCell ref="X11:X20"/>
    <mergeCell ref="Y11:Y20"/>
    <mergeCell ref="Z11:Z20"/>
    <mergeCell ref="AA11:AA20"/>
    <mergeCell ref="AB11:AB20"/>
    <mergeCell ref="N7:N10"/>
    <mergeCell ref="O7:O10"/>
    <mergeCell ref="P7:P10"/>
    <mergeCell ref="T21:T27"/>
    <mergeCell ref="U21:U27"/>
    <mergeCell ref="V21:V27"/>
    <mergeCell ref="N28:N30"/>
    <mergeCell ref="O28:O30"/>
    <mergeCell ref="P28:P30"/>
    <mergeCell ref="Q28:Q30"/>
    <mergeCell ref="R28:R30"/>
    <mergeCell ref="S28:S30"/>
    <mergeCell ref="T28:T30"/>
    <mergeCell ref="U28:U30"/>
    <mergeCell ref="V28:V30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16"/>
  <sheetViews>
    <sheetView zoomScale="80" zoomScaleNormal="80" workbookViewId="0">
      <selection activeCell="D16" sqref="D16"/>
    </sheetView>
  </sheetViews>
  <sheetFormatPr baseColWidth="10" defaultRowHeight="15" x14ac:dyDescent="0.25"/>
  <cols>
    <col min="1" max="1" width="1.85546875" customWidth="1"/>
    <col min="2" max="2" width="29.7109375" customWidth="1"/>
    <col min="3" max="3" width="16.85546875" customWidth="1"/>
    <col min="4" max="4" width="36" customWidth="1"/>
    <col min="5" max="6" width="15.7109375" hidden="1" customWidth="1"/>
    <col min="7" max="7" width="15.140625" customWidth="1"/>
    <col min="8" max="8" width="12" hidden="1" customWidth="1"/>
    <col min="9" max="9" width="15.7109375" hidden="1" customWidth="1"/>
    <col min="10" max="10" width="14.28515625" hidden="1" customWidth="1"/>
    <col min="11" max="11" width="19.140625" customWidth="1"/>
    <col min="12" max="12" width="12.85546875" hidden="1" customWidth="1"/>
    <col min="13" max="13" width="16.7109375" hidden="1" customWidth="1"/>
    <col min="14" max="14" width="15" hidden="1" customWidth="1"/>
    <col min="15" max="15" width="25" customWidth="1"/>
    <col min="16" max="16" width="12.42578125" hidden="1" customWidth="1"/>
    <col min="17" max="17" width="29.85546875" hidden="1" customWidth="1"/>
    <col min="18" max="18" width="28" hidden="1" customWidth="1"/>
    <col min="19" max="19" width="21.140625" customWidth="1"/>
    <col min="20" max="20" width="14.42578125" hidden="1" customWidth="1"/>
    <col min="21" max="21" width="29.140625" hidden="1" customWidth="1"/>
    <col min="22" max="22" width="27.140625" hidden="1" customWidth="1"/>
    <col min="23" max="23" width="21" customWidth="1"/>
    <col min="24" max="24" width="10.85546875" hidden="1" customWidth="1"/>
    <col min="25" max="25" width="25.7109375" hidden="1" customWidth="1"/>
    <col min="26" max="26" width="27.5703125" hidden="1" customWidth="1"/>
    <col min="27" max="27" width="22.28515625" customWidth="1"/>
    <col min="28" max="28" width="14.7109375" hidden="1" customWidth="1"/>
  </cols>
  <sheetData>
    <row r="2" spans="2:28" ht="15.75" thickBot="1" x14ac:dyDescent="0.3"/>
    <row r="3" spans="2:28" ht="35.25" thickTop="1" thickBot="1" x14ac:dyDescent="0.55000000000000004">
      <c r="B3" s="1091" t="s">
        <v>325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  <c r="T3" s="1092"/>
      <c r="U3" s="1092"/>
      <c r="V3" s="1092"/>
      <c r="W3" s="1092"/>
      <c r="X3" s="1092"/>
      <c r="Y3" s="1092"/>
      <c r="Z3" s="1092"/>
      <c r="AA3" s="1092"/>
      <c r="AB3" s="1093"/>
    </row>
    <row r="4" spans="2:28" ht="23.25" customHeight="1" thickTop="1" thickBot="1" x14ac:dyDescent="0.3"/>
    <row r="5" spans="2:28" ht="80.25" customHeight="1" thickTop="1" thickBot="1" x14ac:dyDescent="0.3">
      <c r="B5" s="1294" t="s">
        <v>0</v>
      </c>
      <c r="C5" s="1060" t="s">
        <v>1</v>
      </c>
      <c r="D5" s="1299" t="s">
        <v>2</v>
      </c>
      <c r="E5" s="1297" t="s">
        <v>3</v>
      </c>
      <c r="F5" s="1301"/>
      <c r="G5" s="1301"/>
      <c r="H5" s="1302"/>
      <c r="I5" s="1296" t="s">
        <v>4</v>
      </c>
      <c r="J5" s="1301"/>
      <c r="K5" s="1301"/>
      <c r="L5" s="1303"/>
      <c r="M5" s="1296" t="s">
        <v>16</v>
      </c>
      <c r="N5" s="1297"/>
      <c r="O5" s="1297"/>
      <c r="P5" s="1298"/>
      <c r="Q5" s="1296" t="s">
        <v>5</v>
      </c>
      <c r="R5" s="1297"/>
      <c r="S5" s="1297"/>
      <c r="T5" s="1298"/>
      <c r="U5" s="1296" t="s">
        <v>6</v>
      </c>
      <c r="V5" s="1297"/>
      <c r="W5" s="1297"/>
      <c r="X5" s="1298"/>
      <c r="Y5" s="863" t="s">
        <v>7</v>
      </c>
      <c r="Z5" s="864"/>
      <c r="AA5" s="865" t="s">
        <v>7</v>
      </c>
      <c r="AB5" s="861"/>
    </row>
    <row r="6" spans="2:28" s="277" customFormat="1" ht="27" customHeight="1" thickBot="1" x14ac:dyDescent="0.3">
      <c r="B6" s="1295"/>
      <c r="C6" s="1061"/>
      <c r="D6" s="1300"/>
      <c r="E6" s="866" t="s">
        <v>8</v>
      </c>
      <c r="F6" s="867" t="s">
        <v>9</v>
      </c>
      <c r="G6" s="867" t="s">
        <v>10</v>
      </c>
      <c r="H6" s="868" t="s">
        <v>11</v>
      </c>
      <c r="I6" s="866" t="s">
        <v>8</v>
      </c>
      <c r="J6" s="867" t="s">
        <v>9</v>
      </c>
      <c r="K6" s="867" t="s">
        <v>10</v>
      </c>
      <c r="L6" s="869" t="s">
        <v>11</v>
      </c>
      <c r="M6" s="866" t="s">
        <v>8</v>
      </c>
      <c r="N6" s="867" t="s">
        <v>9</v>
      </c>
      <c r="O6" s="867" t="s">
        <v>10</v>
      </c>
      <c r="P6" s="869" t="s">
        <v>11</v>
      </c>
      <c r="Q6" s="866" t="s">
        <v>8</v>
      </c>
      <c r="R6" s="867" t="s">
        <v>9</v>
      </c>
      <c r="S6" s="867" t="s">
        <v>10</v>
      </c>
      <c r="T6" s="869" t="s">
        <v>11</v>
      </c>
      <c r="U6" s="866" t="s">
        <v>8</v>
      </c>
      <c r="V6" s="867" t="s">
        <v>9</v>
      </c>
      <c r="W6" s="867" t="s">
        <v>10</v>
      </c>
      <c r="X6" s="869" t="s">
        <v>11</v>
      </c>
      <c r="Y6" s="870" t="s">
        <v>8</v>
      </c>
      <c r="Z6" s="871" t="s">
        <v>9</v>
      </c>
      <c r="AA6" s="872" t="s">
        <v>10</v>
      </c>
      <c r="AB6" s="862" t="s">
        <v>11</v>
      </c>
    </row>
    <row r="7" spans="2:28" s="71" customFormat="1" ht="57" customHeight="1" thickTop="1" x14ac:dyDescent="0.25">
      <c r="B7" s="1288" t="s">
        <v>172</v>
      </c>
      <c r="C7" s="1291">
        <v>1</v>
      </c>
      <c r="D7" s="428" t="s">
        <v>173</v>
      </c>
      <c r="E7" s="593">
        <v>0.25</v>
      </c>
      <c r="F7" s="594">
        <v>0.5</v>
      </c>
      <c r="G7" s="594">
        <v>0.9</v>
      </c>
      <c r="H7" s="595">
        <v>1</v>
      </c>
      <c r="I7" s="596">
        <v>7.0000000000000007E-2</v>
      </c>
      <c r="J7" s="597">
        <v>0.16400000000000001</v>
      </c>
      <c r="K7" s="601">
        <v>0.27272727272727271</v>
      </c>
      <c r="L7" s="598"/>
      <c r="M7" s="1304">
        <f>+AVERAGE(E7:E10)*$C$7</f>
        <v>0.22750000000000001</v>
      </c>
      <c r="N7" s="1179">
        <f>+AVERAGE(F7:F10)*$C$7</f>
        <v>0.48249999999999998</v>
      </c>
      <c r="O7" s="1179">
        <f>+AVERAGE(G7:G10)*$C$7</f>
        <v>0.78</v>
      </c>
      <c r="P7" s="1307">
        <f>+AVERAGE(H7:H10)*$C$7</f>
        <v>1</v>
      </c>
      <c r="Q7" s="1310">
        <f>+AVERAGE(I7:I10)</f>
        <v>0.3115</v>
      </c>
      <c r="R7" s="1313">
        <f>+AVERAGE(J7:J10)</f>
        <v>0.47749999999999998</v>
      </c>
      <c r="S7" s="1313">
        <f>+AVERAGE(K7:K10)</f>
        <v>0.67143181818181819</v>
      </c>
      <c r="T7" s="1314" t="e">
        <f>+AVERAGE(L7:L10)</f>
        <v>#DIV/0!</v>
      </c>
      <c r="U7" s="1310">
        <f>+Q7*$C$7</f>
        <v>0.3115</v>
      </c>
      <c r="V7" s="1313">
        <f>+R7*$C$7</f>
        <v>0.47749999999999998</v>
      </c>
      <c r="W7" s="1313">
        <f>+S7*$C$7</f>
        <v>0.67143181818181819</v>
      </c>
      <c r="X7" s="1314" t="e">
        <f>+T7*$C$7</f>
        <v>#DIV/0!</v>
      </c>
      <c r="Y7" s="1320">
        <f>+U7/M7</f>
        <v>1.3692307692307693</v>
      </c>
      <c r="Z7" s="1317">
        <f>+V7/N7</f>
        <v>0.98963730569948183</v>
      </c>
      <c r="AA7" s="1317">
        <f>+W7/O7</f>
        <v>0.86081002331002332</v>
      </c>
      <c r="AB7" s="1318" t="e">
        <f>+X7/P7</f>
        <v>#DIV/0!</v>
      </c>
    </row>
    <row r="8" spans="2:28" s="71" customFormat="1" ht="40.5" customHeight="1" x14ac:dyDescent="0.25">
      <c r="B8" s="1289"/>
      <c r="C8" s="1292"/>
      <c r="D8" s="77" t="s">
        <v>174</v>
      </c>
      <c r="E8" s="408">
        <v>0.25</v>
      </c>
      <c r="F8" s="409">
        <v>0.5</v>
      </c>
      <c r="G8" s="409">
        <v>0.75</v>
      </c>
      <c r="H8" s="410">
        <v>1</v>
      </c>
      <c r="I8" s="411">
        <v>0.25</v>
      </c>
      <c r="J8" s="536">
        <v>0.41899999999999998</v>
      </c>
      <c r="K8" s="423">
        <v>0.627</v>
      </c>
      <c r="L8" s="534"/>
      <c r="M8" s="1305"/>
      <c r="N8" s="1180"/>
      <c r="O8" s="1180"/>
      <c r="P8" s="1308"/>
      <c r="Q8" s="1311"/>
      <c r="R8" s="1103"/>
      <c r="S8" s="1103"/>
      <c r="T8" s="1315"/>
      <c r="U8" s="1311"/>
      <c r="V8" s="1103"/>
      <c r="W8" s="1103"/>
      <c r="X8" s="1315"/>
      <c r="Y8" s="1321"/>
      <c r="Z8" s="1111"/>
      <c r="AA8" s="1111"/>
      <c r="AB8" s="1107"/>
    </row>
    <row r="9" spans="2:28" s="71" customFormat="1" ht="40.5" customHeight="1" x14ac:dyDescent="0.25">
      <c r="B9" s="1289"/>
      <c r="C9" s="1292"/>
      <c r="D9" s="77" t="s">
        <v>175</v>
      </c>
      <c r="E9" s="408">
        <v>0.16</v>
      </c>
      <c r="F9" s="409">
        <v>0.43</v>
      </c>
      <c r="G9" s="409">
        <v>0.72</v>
      </c>
      <c r="H9" s="410">
        <v>1</v>
      </c>
      <c r="I9" s="412">
        <v>0.67600000000000005</v>
      </c>
      <c r="J9" s="537">
        <v>0.83699999999999997</v>
      </c>
      <c r="K9" s="422">
        <v>0.93600000000000005</v>
      </c>
      <c r="L9" s="534"/>
      <c r="M9" s="1305"/>
      <c r="N9" s="1180"/>
      <c r="O9" s="1180"/>
      <c r="P9" s="1308"/>
      <c r="Q9" s="1311"/>
      <c r="R9" s="1103"/>
      <c r="S9" s="1103"/>
      <c r="T9" s="1315"/>
      <c r="U9" s="1311"/>
      <c r="V9" s="1103"/>
      <c r="W9" s="1103"/>
      <c r="X9" s="1315"/>
      <c r="Y9" s="1321"/>
      <c r="Z9" s="1111"/>
      <c r="AA9" s="1111"/>
      <c r="AB9" s="1107"/>
    </row>
    <row r="10" spans="2:28" s="71" customFormat="1" ht="35.25" customHeight="1" thickBot="1" x14ac:dyDescent="0.3">
      <c r="B10" s="1290"/>
      <c r="C10" s="1293"/>
      <c r="D10" s="407" t="s">
        <v>176</v>
      </c>
      <c r="E10" s="413">
        <v>0.25</v>
      </c>
      <c r="F10" s="414">
        <v>0.5</v>
      </c>
      <c r="G10" s="414">
        <v>0.75</v>
      </c>
      <c r="H10" s="415">
        <v>1</v>
      </c>
      <c r="I10" s="416">
        <v>0.25</v>
      </c>
      <c r="J10" s="538">
        <v>0.49</v>
      </c>
      <c r="K10" s="692">
        <v>0.85</v>
      </c>
      <c r="L10" s="535"/>
      <c r="M10" s="1306"/>
      <c r="N10" s="1181"/>
      <c r="O10" s="1181"/>
      <c r="P10" s="1309"/>
      <c r="Q10" s="1312"/>
      <c r="R10" s="1104"/>
      <c r="S10" s="1104"/>
      <c r="T10" s="1316"/>
      <c r="U10" s="1312"/>
      <c r="V10" s="1104"/>
      <c r="W10" s="1104"/>
      <c r="X10" s="1316"/>
      <c r="Y10" s="1322"/>
      <c r="Z10" s="1112"/>
      <c r="AA10" s="1112"/>
      <c r="AB10" s="1319"/>
    </row>
    <row r="11" spans="2:28" s="591" customFormat="1" ht="30" customHeight="1" thickTop="1" thickBot="1" x14ac:dyDescent="0.3">
      <c r="B11" s="664" t="s">
        <v>12</v>
      </c>
      <c r="C11" s="665">
        <f>SUM(C7:C10)</f>
        <v>1</v>
      </c>
      <c r="D11" s="666"/>
      <c r="E11" s="667"/>
      <c r="F11" s="668"/>
      <c r="G11" s="668"/>
      <c r="H11" s="669"/>
      <c r="I11" s="667"/>
      <c r="J11" s="668"/>
      <c r="K11" s="668"/>
      <c r="L11" s="670"/>
      <c r="M11" s="667">
        <f>SUM(M7)</f>
        <v>0.22750000000000001</v>
      </c>
      <c r="N11" s="668">
        <f>SUM(N7)</f>
        <v>0.48249999999999998</v>
      </c>
      <c r="O11" s="668">
        <f>SUM(O7)</f>
        <v>0.78</v>
      </c>
      <c r="P11" s="670">
        <f>SUM(P7)</f>
        <v>1</v>
      </c>
      <c r="Q11" s="671"/>
      <c r="R11" s="672"/>
      <c r="S11" s="672"/>
      <c r="T11" s="673"/>
      <c r="U11" s="667">
        <f>SUM(U7:U10)</f>
        <v>0.3115</v>
      </c>
      <c r="V11" s="668">
        <f>SUM(V7:V10)</f>
        <v>0.47749999999999998</v>
      </c>
      <c r="W11" s="668">
        <f>SUM(W7:W10)</f>
        <v>0.67143181818181819</v>
      </c>
      <c r="X11" s="670" t="e">
        <f>SUM(X7:X10)</f>
        <v>#DIV/0!</v>
      </c>
      <c r="Y11" s="667">
        <f>+U11/M11</f>
        <v>1.3692307692307693</v>
      </c>
      <c r="Z11" s="668">
        <f>SUM(Z7:Z10)</f>
        <v>0.98963730569948183</v>
      </c>
      <c r="AA11" s="860">
        <f>SUM(AA7:AA10)</f>
        <v>0.86081002331002332</v>
      </c>
      <c r="AB11" s="859" t="e">
        <f>SUM(AB7:AB10)</f>
        <v>#DIV/0!</v>
      </c>
    </row>
    <row r="12" spans="2:28" ht="15.75" thickTop="1" x14ac:dyDescent="0.25"/>
    <row r="13" spans="2:28" x14ac:dyDescent="0.25">
      <c r="E13" s="283" t="s">
        <v>129</v>
      </c>
      <c r="F13" s="71"/>
      <c r="G13" s="71"/>
      <c r="H13" s="71"/>
      <c r="I13" s="388">
        <f>1/4</f>
        <v>0.25</v>
      </c>
      <c r="J13" s="389">
        <f>3/4</f>
        <v>0.75</v>
      </c>
      <c r="K13" s="389">
        <v>0.5</v>
      </c>
      <c r="L13" s="293"/>
      <c r="M13" s="71"/>
    </row>
    <row r="14" spans="2:28" x14ac:dyDescent="0.25">
      <c r="E14" s="284" t="s">
        <v>130</v>
      </c>
      <c r="F14" s="71"/>
      <c r="G14" s="71"/>
      <c r="H14" s="71"/>
      <c r="I14" s="387">
        <f>2/4</f>
        <v>0.5</v>
      </c>
      <c r="J14" s="387">
        <v>0</v>
      </c>
      <c r="K14" s="387">
        <v>0</v>
      </c>
      <c r="L14" s="293"/>
      <c r="M14" s="71"/>
    </row>
    <row r="15" spans="2:28" x14ac:dyDescent="0.25">
      <c r="E15" s="394" t="s">
        <v>131</v>
      </c>
      <c r="F15" s="71"/>
      <c r="G15" s="71"/>
      <c r="H15" s="71"/>
      <c r="I15" s="397">
        <f>1/4</f>
        <v>0.25</v>
      </c>
      <c r="J15" s="393">
        <f>1/4</f>
        <v>0.25</v>
      </c>
      <c r="K15" s="393">
        <v>0.5</v>
      </c>
      <c r="L15" s="293"/>
      <c r="M15" s="71"/>
    </row>
    <row r="16" spans="2:28" x14ac:dyDescent="0.25">
      <c r="E16" s="276" t="s">
        <v>12</v>
      </c>
      <c r="G16" s="71"/>
      <c r="H16" s="71"/>
      <c r="I16" s="396">
        <f>SUM(I13:I15)</f>
        <v>1</v>
      </c>
      <c r="J16" s="396">
        <f>SUM(J13:J15)</f>
        <v>1</v>
      </c>
      <c r="K16" s="396">
        <f>SUM(K13:K15)</f>
        <v>1</v>
      </c>
      <c r="L16" s="293"/>
      <c r="M16" s="71"/>
    </row>
  </sheetData>
  <mergeCells count="27">
    <mergeCell ref="AB7:AB10"/>
    <mergeCell ref="V7:V10"/>
    <mergeCell ref="W7:W10"/>
    <mergeCell ref="X7:X10"/>
    <mergeCell ref="Y7:Y10"/>
    <mergeCell ref="Z7:Z10"/>
    <mergeCell ref="R7:R10"/>
    <mergeCell ref="S7:S10"/>
    <mergeCell ref="T7:T10"/>
    <mergeCell ref="U7:U10"/>
    <mergeCell ref="AA7:AA10"/>
    <mergeCell ref="B7:B10"/>
    <mergeCell ref="C7:C10"/>
    <mergeCell ref="B3:AB3"/>
    <mergeCell ref="B5:B6"/>
    <mergeCell ref="C5:C6"/>
    <mergeCell ref="U5:X5"/>
    <mergeCell ref="D5:D6"/>
    <mergeCell ref="E5:H5"/>
    <mergeCell ref="I5:L5"/>
    <mergeCell ref="M5:P5"/>
    <mergeCell ref="Q5:T5"/>
    <mergeCell ref="M7:M10"/>
    <mergeCell ref="N7:N10"/>
    <mergeCell ref="O7:O10"/>
    <mergeCell ref="P7:P10"/>
    <mergeCell ref="Q7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MODELO</vt:lpstr>
      <vt:lpstr>1. OF_CONTROL_INTERNO</vt:lpstr>
      <vt:lpstr>2. OF_COOP_INTERNACIONAL</vt:lpstr>
      <vt:lpstr>2. OF_COOP_INTERNAC</vt:lpstr>
      <vt:lpstr>3. OF_INNOV_EDUCAT</vt:lpstr>
      <vt:lpstr>4. OF_JURIDICA</vt:lpstr>
      <vt:lpstr>4. OF_JURIDICA_AJUSTE</vt:lpstr>
      <vt:lpstr>5. OF_PLANEACIÓN</vt:lpstr>
      <vt:lpstr>6. OF_TECNOLOGÍA</vt:lpstr>
      <vt:lpstr>8. SUBDIR_FINANCIERA</vt:lpstr>
      <vt:lpstr>7. SUBDIR_DES_ORG</vt:lpstr>
      <vt:lpstr>8. SUBDIR_GEST_FINANCIERA</vt:lpstr>
      <vt:lpstr>9. SUBDIR_TALENTO_HUMANO</vt:lpstr>
      <vt:lpstr>9, SUBDIR_TALENTO_HUMANO</vt:lpstr>
      <vt:lpstr>10. UNID_ATENC_CIUDADANO</vt:lpstr>
      <vt:lpstr>11. SUBDIR_ADMINISTRATIVA</vt:lpstr>
      <vt:lpstr>12. SUBDIR_CONTRATACIÓN</vt:lpstr>
      <vt:lpstr>13. OFICINA DE COMUNICACIONES</vt:lpstr>
      <vt:lpstr>13. OF_COMUNICACIONES</vt:lpstr>
      <vt:lpstr>CONSOLIDADO_1ER_TRIMESTRE</vt:lpstr>
      <vt:lpstr>CONSOLIDADO III TRIMESTRE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Niño Velandia</dc:creator>
  <cp:lastModifiedBy>Luis Eduardo Niño Velandia</cp:lastModifiedBy>
  <cp:lastPrinted>2016-07-22T14:52:03Z</cp:lastPrinted>
  <dcterms:created xsi:type="dcterms:W3CDTF">2015-03-24T14:50:45Z</dcterms:created>
  <dcterms:modified xsi:type="dcterms:W3CDTF">2016-11-05T16:32:46Z</dcterms:modified>
</cp:coreProperties>
</file>